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filterPrivacy="1" codeName="ThisWorkbook"/>
  <xr:revisionPtr revIDLastSave="0" documentId="13_ncr:1_{EF50B926-269B-A64B-8BA6-77422AB2064A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Deal Assumptions &amp; Analysis" sheetId="9" r:id="rId1"/>
    <sheet name="Pro Forma Model" sheetId="10" r:id="rId2"/>
    <sheet name="Acquirer Model" sheetId="6" r:id="rId3"/>
    <sheet name="Target Model" sheetId="8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0" i="9" l="1"/>
  <c r="L140" i="9" s="1"/>
  <c r="M140" i="9" s="1"/>
  <c r="D140" i="9"/>
  <c r="E140" i="9" s="1"/>
  <c r="F140" i="9" s="1"/>
  <c r="B143" i="9"/>
  <c r="B144" i="9" s="1"/>
  <c r="B145" i="9" s="1"/>
  <c r="B146" i="9" s="1"/>
  <c r="B142" i="9"/>
  <c r="K135" i="9"/>
  <c r="K134" i="9"/>
  <c r="K132" i="9"/>
  <c r="L131" i="9"/>
  <c r="M131" i="9"/>
  <c r="C184" i="6"/>
  <c r="K131" i="9"/>
  <c r="K130" i="9"/>
  <c r="K129" i="9"/>
  <c r="F131" i="9"/>
  <c r="F129" i="9"/>
  <c r="I119" i="9"/>
  <c r="I118" i="9"/>
  <c r="M119" i="9"/>
  <c r="L119" i="9"/>
  <c r="K119" i="9"/>
  <c r="J119" i="9"/>
  <c r="M118" i="9"/>
  <c r="L118" i="9"/>
  <c r="K118" i="9"/>
  <c r="J118" i="9"/>
  <c r="M115" i="9"/>
  <c r="L115" i="9"/>
  <c r="K115" i="9"/>
  <c r="J115" i="9"/>
  <c r="I115" i="9"/>
  <c r="M114" i="9"/>
  <c r="L114" i="9"/>
  <c r="K114" i="9"/>
  <c r="J114" i="9"/>
  <c r="I114" i="9"/>
  <c r="J110" i="9"/>
  <c r="K110" i="9"/>
  <c r="L110" i="9"/>
  <c r="M110" i="9"/>
  <c r="J111" i="9"/>
  <c r="K111" i="9"/>
  <c r="L111" i="9"/>
  <c r="M111" i="9"/>
  <c r="I111" i="9"/>
  <c r="I110" i="9"/>
  <c r="J103" i="9"/>
  <c r="K103" i="9"/>
  <c r="L103" i="9"/>
  <c r="M103" i="9"/>
  <c r="J104" i="9"/>
  <c r="K104" i="9"/>
  <c r="L104" i="9"/>
  <c r="M104" i="9"/>
  <c r="I104" i="9"/>
  <c r="I103" i="9"/>
  <c r="J99" i="9"/>
  <c r="K99" i="9"/>
  <c r="L99" i="9"/>
  <c r="M99" i="9"/>
  <c r="J100" i="9"/>
  <c r="K100" i="9"/>
  <c r="L100" i="9"/>
  <c r="M100" i="9"/>
  <c r="I100" i="9"/>
  <c r="I99" i="9"/>
  <c r="J95" i="9"/>
  <c r="K95" i="9"/>
  <c r="L95" i="9"/>
  <c r="M95" i="9"/>
  <c r="J96" i="9"/>
  <c r="K96" i="9"/>
  <c r="L96" i="9"/>
  <c r="M96" i="9"/>
  <c r="I96" i="9" l="1"/>
  <c r="I95" i="9"/>
  <c r="G12" i="10" l="1"/>
  <c r="C176" i="10"/>
  <c r="D34" i="9"/>
  <c r="H118" i="10"/>
  <c r="I116" i="10" s="1"/>
  <c r="D29" i="9"/>
  <c r="J89" i="10"/>
  <c r="K89" i="10"/>
  <c r="L89" i="10"/>
  <c r="M89" i="10"/>
  <c r="N89" i="10"/>
  <c r="J90" i="10"/>
  <c r="K90" i="10"/>
  <c r="L90" i="10"/>
  <c r="M90" i="10"/>
  <c r="N90" i="10"/>
  <c r="I90" i="10"/>
  <c r="I89" i="10"/>
  <c r="M65" i="9"/>
  <c r="E76" i="9"/>
  <c r="H76" i="9" s="1"/>
  <c r="D76" i="9"/>
  <c r="E72" i="9"/>
  <c r="G72" i="9"/>
  <c r="D72" i="9"/>
  <c r="F53" i="9"/>
  <c r="E54" i="9"/>
  <c r="M44" i="9"/>
  <c r="M41" i="9"/>
  <c r="D40" i="9"/>
  <c r="D37" i="9"/>
  <c r="D33" i="9"/>
  <c r="H150" i="10"/>
  <c r="I150" i="10" s="1"/>
  <c r="H149" i="10"/>
  <c r="I149" i="10" s="1"/>
  <c r="H148" i="10"/>
  <c r="I148" i="10"/>
  <c r="J148" i="10"/>
  <c r="K148" i="10" s="1"/>
  <c r="H128" i="10"/>
  <c r="I127" i="10" s="1"/>
  <c r="H123" i="10"/>
  <c r="M122" i="10" s="1"/>
  <c r="I121" i="10"/>
  <c r="M213" i="10"/>
  <c r="P90" i="8"/>
  <c r="P86" i="8"/>
  <c r="P90" i="6"/>
  <c r="P86" i="6"/>
  <c r="G76" i="9"/>
  <c r="N122" i="10"/>
  <c r="L117" i="10"/>
  <c r="J122" i="10"/>
  <c r="I122" i="10"/>
  <c r="K127" i="10"/>
  <c r="I126" i="10"/>
  <c r="J127" i="10"/>
  <c r="L122" i="10"/>
  <c r="M127" i="10"/>
  <c r="K122" i="10"/>
  <c r="L225" i="10"/>
  <c r="N225" i="10"/>
  <c r="M225" i="10"/>
  <c r="K225" i="10"/>
  <c r="J225" i="10"/>
  <c r="L219" i="10"/>
  <c r="J207" i="10"/>
  <c r="K213" i="10"/>
  <c r="N219" i="10"/>
  <c r="M219" i="10"/>
  <c r="K219" i="10"/>
  <c r="J219" i="10"/>
  <c r="N213" i="10"/>
  <c r="L213" i="10"/>
  <c r="J213" i="10"/>
  <c r="M207" i="10"/>
  <c r="L207" i="10"/>
  <c r="K207" i="10"/>
  <c r="N207" i="10"/>
  <c r="H40" i="9"/>
  <c r="I79" i="9" s="1"/>
  <c r="M42" i="9"/>
  <c r="O4" i="8"/>
  <c r="O4" i="6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O146" i="8"/>
  <c r="O118" i="8" s="1"/>
  <c r="O121" i="8" s="1"/>
  <c r="P56" i="8"/>
  <c r="P146" i="8"/>
  <c r="P118" i="8"/>
  <c r="O57" i="8"/>
  <c r="P57" i="8"/>
  <c r="P119" i="8"/>
  <c r="O58" i="8"/>
  <c r="O120" i="8"/>
  <c r="P58" i="8"/>
  <c r="P120" i="8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O146" i="6"/>
  <c r="O118" i="6" s="1"/>
  <c r="P56" i="6"/>
  <c r="P146" i="6"/>
  <c r="P118" i="6" s="1"/>
  <c r="O57" i="6"/>
  <c r="O96" i="6" s="1"/>
  <c r="D82" i="9" s="1"/>
  <c r="P57" i="6"/>
  <c r="P119" i="6"/>
  <c r="O58" i="6"/>
  <c r="O120" i="6" s="1"/>
  <c r="P58" i="6"/>
  <c r="P120" i="6" s="1"/>
  <c r="P121" i="8"/>
  <c r="O96" i="8"/>
  <c r="E82" i="9"/>
  <c r="O119" i="8"/>
  <c r="D65" i="9"/>
  <c r="E65" i="9"/>
  <c r="I67" i="9"/>
  <c r="O2" i="6"/>
  <c r="O2" i="8"/>
  <c r="G115" i="8"/>
  <c r="E115" i="8"/>
  <c r="F115" i="8"/>
  <c r="H115" i="8"/>
  <c r="E115" i="6"/>
  <c r="F115" i="6"/>
  <c r="G115" i="6"/>
  <c r="H115" i="6"/>
  <c r="D115" i="8"/>
  <c r="D115" i="6"/>
  <c r="E121" i="8"/>
  <c r="F121" i="8"/>
  <c r="G121" i="8"/>
  <c r="H121" i="8"/>
  <c r="E121" i="6"/>
  <c r="F121" i="6"/>
  <c r="G121" i="6"/>
  <c r="H121" i="6"/>
  <c r="D121" i="8"/>
  <c r="D121" i="6"/>
  <c r="I58" i="8"/>
  <c r="I120" i="8" s="1"/>
  <c r="J58" i="8"/>
  <c r="J120" i="8" s="1"/>
  <c r="K58" i="8"/>
  <c r="K120" i="8" s="1"/>
  <c r="L58" i="8"/>
  <c r="L120" i="8" s="1"/>
  <c r="M58" i="8"/>
  <c r="M120" i="8" s="1"/>
  <c r="N58" i="8"/>
  <c r="N120" i="8" s="1"/>
  <c r="N121" i="8" s="1"/>
  <c r="I58" i="6"/>
  <c r="I120" i="6" s="1"/>
  <c r="J58" i="6"/>
  <c r="J120" i="6" s="1"/>
  <c r="K58" i="6"/>
  <c r="K120" i="6" s="1"/>
  <c r="L58" i="6"/>
  <c r="L120" i="6" s="1"/>
  <c r="M58" i="6"/>
  <c r="M120" i="6" s="1"/>
  <c r="N58" i="6"/>
  <c r="N120" i="6" s="1"/>
  <c r="G13" i="10"/>
  <c r="G14" i="10"/>
  <c r="G82" i="9"/>
  <c r="H82" i="9"/>
  <c r="C183" i="8"/>
  <c r="C164" i="8"/>
  <c r="C160" i="8"/>
  <c r="C159" i="8"/>
  <c r="G186" i="8" s="1"/>
  <c r="H147" i="8"/>
  <c r="O145" i="8" s="1"/>
  <c r="O147" i="8" s="1"/>
  <c r="G147" i="8"/>
  <c r="F147" i="8"/>
  <c r="E147" i="8"/>
  <c r="D147" i="8"/>
  <c r="I145" i="8"/>
  <c r="H142" i="8"/>
  <c r="G142" i="8"/>
  <c r="F142" i="8"/>
  <c r="E142" i="8"/>
  <c r="D142" i="8"/>
  <c r="H135" i="8"/>
  <c r="G135" i="8"/>
  <c r="F135" i="8"/>
  <c r="E135" i="8"/>
  <c r="D135" i="8"/>
  <c r="D136" i="8" s="1"/>
  <c r="H108" i="8"/>
  <c r="G108" i="8"/>
  <c r="F108" i="8"/>
  <c r="E108" i="8"/>
  <c r="D108" i="8"/>
  <c r="D98" i="8"/>
  <c r="H92" i="8"/>
  <c r="H94" i="8" s="1"/>
  <c r="G92" i="8"/>
  <c r="G94" i="8"/>
  <c r="F92" i="8"/>
  <c r="F94" i="8" s="1"/>
  <c r="E92" i="8"/>
  <c r="E94" i="8"/>
  <c r="D92" i="8"/>
  <c r="D94" i="8" s="1"/>
  <c r="D99" i="8" s="1"/>
  <c r="H71" i="8"/>
  <c r="G71" i="8"/>
  <c r="F71" i="8"/>
  <c r="E71" i="8"/>
  <c r="E72" i="8" s="1"/>
  <c r="E75" i="8" s="1"/>
  <c r="E107" i="8" s="1"/>
  <c r="D71" i="8"/>
  <c r="H65" i="8"/>
  <c r="G65" i="8"/>
  <c r="G72" i="8" s="1"/>
  <c r="G75" i="8" s="1"/>
  <c r="G107" i="8" s="1"/>
  <c r="F65" i="8"/>
  <c r="E65" i="8"/>
  <c r="D65" i="8"/>
  <c r="N57" i="8"/>
  <c r="N119" i="8" s="1"/>
  <c r="M57" i="8"/>
  <c r="M119" i="8" s="1"/>
  <c r="L57" i="8"/>
  <c r="L119" i="8" s="1"/>
  <c r="K57" i="8"/>
  <c r="K119" i="8" s="1"/>
  <c r="J57" i="8"/>
  <c r="J119" i="8" s="1"/>
  <c r="I57" i="8"/>
  <c r="I119" i="8" s="1"/>
  <c r="N56" i="8"/>
  <c r="N146" i="8" s="1"/>
  <c r="N118" i="8" s="1"/>
  <c r="M56" i="8"/>
  <c r="M146" i="8"/>
  <c r="M118" i="8" s="1"/>
  <c r="L56" i="8"/>
  <c r="L146" i="8" s="1"/>
  <c r="L118" i="8" s="1"/>
  <c r="L121" i="8" s="1"/>
  <c r="K56" i="8"/>
  <c r="K146" i="8" s="1"/>
  <c r="K118" i="8" s="1"/>
  <c r="J56" i="8"/>
  <c r="J146" i="8" s="1"/>
  <c r="J118" i="8" s="1"/>
  <c r="J121" i="8" s="1"/>
  <c r="I56" i="8"/>
  <c r="I146" i="8" s="1"/>
  <c r="N55" i="8"/>
  <c r="N140" i="8" s="1"/>
  <c r="M55" i="8"/>
  <c r="M140" i="8" s="1"/>
  <c r="M113" i="8" s="1"/>
  <c r="L55" i="8"/>
  <c r="L140" i="8" s="1"/>
  <c r="L113" i="8" s="1"/>
  <c r="K55" i="8"/>
  <c r="K140" i="8" s="1"/>
  <c r="K113" i="8" s="1"/>
  <c r="J55" i="8"/>
  <c r="J140" i="8" s="1"/>
  <c r="I55" i="8"/>
  <c r="I140" i="8" s="1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H151" i="10"/>
  <c r="I151" i="10" s="1"/>
  <c r="J151" i="10" s="1"/>
  <c r="N49" i="8"/>
  <c r="M49" i="8"/>
  <c r="L49" i="8"/>
  <c r="K49" i="8"/>
  <c r="J49" i="8"/>
  <c r="I49" i="8"/>
  <c r="N48" i="8"/>
  <c r="N68" i="8" s="1"/>
  <c r="N224" i="10" s="1"/>
  <c r="M48" i="8"/>
  <c r="M68" i="8"/>
  <c r="M224" i="10" s="1"/>
  <c r="L48" i="8"/>
  <c r="L68" i="8" s="1"/>
  <c r="L224" i="10" s="1"/>
  <c r="K48" i="8"/>
  <c r="K68" i="8" s="1"/>
  <c r="K224" i="10" s="1"/>
  <c r="J48" i="8"/>
  <c r="J68" i="8" s="1"/>
  <c r="J224" i="10" s="1"/>
  <c r="I48" i="8"/>
  <c r="I68" i="8"/>
  <c r="I224" i="10" s="1"/>
  <c r="N47" i="8"/>
  <c r="M47" i="8"/>
  <c r="L47" i="8"/>
  <c r="K47" i="8"/>
  <c r="J47" i="8"/>
  <c r="I47" i="8"/>
  <c r="N46" i="8"/>
  <c r="M46" i="8"/>
  <c r="L46" i="8"/>
  <c r="K46" i="8"/>
  <c r="J46" i="8"/>
  <c r="I46" i="8"/>
  <c r="J45" i="8"/>
  <c r="I45" i="8"/>
  <c r="I63" i="8"/>
  <c r="E6" i="8"/>
  <c r="F6" i="8" s="1"/>
  <c r="G6" i="8" s="1"/>
  <c r="H6" i="8" s="1"/>
  <c r="I6" i="8" s="1"/>
  <c r="J6" i="8" s="1"/>
  <c r="K6" i="8" s="1"/>
  <c r="L6" i="8" s="1"/>
  <c r="M6" i="8" s="1"/>
  <c r="N6" i="8" s="1"/>
  <c r="E4" i="8"/>
  <c r="E5" i="8" s="1"/>
  <c r="E2" i="8"/>
  <c r="F2" i="8" s="1"/>
  <c r="G2" i="8" s="1"/>
  <c r="H2" i="8" s="1"/>
  <c r="I2" i="8" s="1"/>
  <c r="D163" i="8" s="1"/>
  <c r="A2" i="8"/>
  <c r="C183" i="6"/>
  <c r="C164" i="6"/>
  <c r="C160" i="6"/>
  <c r="C159" i="6"/>
  <c r="G186" i="6"/>
  <c r="H147" i="6"/>
  <c r="O145" i="6" s="1"/>
  <c r="G147" i="6"/>
  <c r="F147" i="6"/>
  <c r="E147" i="6"/>
  <c r="D147" i="6"/>
  <c r="H142" i="6"/>
  <c r="G142" i="6"/>
  <c r="F142" i="6"/>
  <c r="E142" i="6"/>
  <c r="D142" i="6"/>
  <c r="H135" i="6"/>
  <c r="G135" i="6"/>
  <c r="F135" i="6"/>
  <c r="E135" i="6"/>
  <c r="D135" i="6"/>
  <c r="D136" i="6" s="1"/>
  <c r="H98" i="6"/>
  <c r="G98" i="6"/>
  <c r="F98" i="6"/>
  <c r="E98" i="6"/>
  <c r="D98" i="6"/>
  <c r="H92" i="6"/>
  <c r="H94" i="6" s="1"/>
  <c r="G92" i="6"/>
  <c r="G94" i="6"/>
  <c r="F92" i="6"/>
  <c r="F94" i="6" s="1"/>
  <c r="E92" i="6"/>
  <c r="E94" i="6"/>
  <c r="D92" i="6"/>
  <c r="D94" i="6" s="1"/>
  <c r="D99" i="6" s="1"/>
  <c r="H71" i="6"/>
  <c r="G71" i="6"/>
  <c r="F71" i="6"/>
  <c r="F72" i="6" s="1"/>
  <c r="F75" i="6" s="1"/>
  <c r="F107" i="6" s="1"/>
  <c r="F110" i="6" s="1"/>
  <c r="F123" i="6" s="1"/>
  <c r="F125" i="6" s="1"/>
  <c r="F81" i="6" s="1"/>
  <c r="F84" i="6" s="1"/>
  <c r="F87" i="6" s="1"/>
  <c r="E71" i="6"/>
  <c r="D71" i="6"/>
  <c r="H65" i="6"/>
  <c r="H72" i="6" s="1"/>
  <c r="H75" i="6" s="1"/>
  <c r="H107" i="6" s="1"/>
  <c r="H110" i="6" s="1"/>
  <c r="H123" i="6" s="1"/>
  <c r="H125" i="6" s="1"/>
  <c r="G65" i="6"/>
  <c r="G72" i="6" s="1"/>
  <c r="G75" i="6" s="1"/>
  <c r="G107" i="6" s="1"/>
  <c r="G110" i="6" s="1"/>
  <c r="G123" i="6" s="1"/>
  <c r="G125" i="6" s="1"/>
  <c r="G81" i="6" s="1"/>
  <c r="G84" i="6" s="1"/>
  <c r="G87" i="6" s="1"/>
  <c r="G101" i="6" s="1"/>
  <c r="G3" i="6" s="1"/>
  <c r="F65" i="6"/>
  <c r="E65" i="6"/>
  <c r="D65" i="6"/>
  <c r="D72" i="6" s="1"/>
  <c r="D75" i="6" s="1"/>
  <c r="D107" i="6" s="1"/>
  <c r="D110" i="6" s="1"/>
  <c r="D123" i="6" s="1"/>
  <c r="D125" i="6" s="1"/>
  <c r="D81" i="6" s="1"/>
  <c r="D84" i="6" s="1"/>
  <c r="D87" i="6" s="1"/>
  <c r="D101" i="6" s="1"/>
  <c r="D3" i="6" s="1"/>
  <c r="N57" i="6"/>
  <c r="N119" i="6" s="1"/>
  <c r="M57" i="6"/>
  <c r="M119" i="6" s="1"/>
  <c r="L57" i="6"/>
  <c r="L119" i="6" s="1"/>
  <c r="K57" i="6"/>
  <c r="K119" i="6" s="1"/>
  <c r="J57" i="6"/>
  <c r="J119" i="6" s="1"/>
  <c r="I57" i="6"/>
  <c r="I119" i="6" s="1"/>
  <c r="N56" i="6"/>
  <c r="N146" i="6" s="1"/>
  <c r="N118" i="6" s="1"/>
  <c r="M56" i="6"/>
  <c r="M146" i="6"/>
  <c r="L56" i="6"/>
  <c r="L146" i="6" s="1"/>
  <c r="L118" i="6" s="1"/>
  <c r="K56" i="6"/>
  <c r="K146" i="6"/>
  <c r="J56" i="6"/>
  <c r="J146" i="6" s="1"/>
  <c r="J118" i="6" s="1"/>
  <c r="I56" i="6"/>
  <c r="I146" i="6" s="1"/>
  <c r="N55" i="6"/>
  <c r="N140" i="6"/>
  <c r="N113" i="6" s="1"/>
  <c r="M55" i="6"/>
  <c r="M140" i="6" s="1"/>
  <c r="L55" i="6"/>
  <c r="L140" i="6" s="1"/>
  <c r="K55" i="6"/>
  <c r="K140" i="6" s="1"/>
  <c r="J55" i="6"/>
  <c r="J140" i="6" s="1"/>
  <c r="J113" i="6" s="1"/>
  <c r="I55" i="6"/>
  <c r="I140" i="6"/>
  <c r="I113" i="6" s="1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H152" i="10"/>
  <c r="I152" i="10" s="1"/>
  <c r="J152" i="10" s="1"/>
  <c r="K152" i="10" s="1"/>
  <c r="L152" i="10" s="1"/>
  <c r="M152" i="10" s="1"/>
  <c r="N152" i="10" s="1"/>
  <c r="N49" i="6"/>
  <c r="M49" i="6"/>
  <c r="L49" i="6"/>
  <c r="K49" i="6"/>
  <c r="J49" i="6"/>
  <c r="I49" i="6"/>
  <c r="N48" i="6"/>
  <c r="N68" i="6" s="1"/>
  <c r="N223" i="10" s="1"/>
  <c r="N226" i="10" s="1"/>
  <c r="N38" i="10" s="1"/>
  <c r="M48" i="6"/>
  <c r="M68" i="6"/>
  <c r="M223" i="10"/>
  <c r="L48" i="6"/>
  <c r="L68" i="6" s="1"/>
  <c r="L223" i="10" s="1"/>
  <c r="K48" i="6"/>
  <c r="K68" i="6" s="1"/>
  <c r="K223" i="10" s="1"/>
  <c r="K226" i="10" s="1"/>
  <c r="J48" i="6"/>
  <c r="J68" i="6" s="1"/>
  <c r="J223" i="10" s="1"/>
  <c r="I48" i="6"/>
  <c r="I68" i="6" s="1"/>
  <c r="I223" i="10" s="1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I63" i="6"/>
  <c r="I205" i="10" s="1"/>
  <c r="E6" i="6"/>
  <c r="F6" i="6" s="1"/>
  <c r="G6" i="6" s="1"/>
  <c r="H6" i="6" s="1"/>
  <c r="I6" i="6" s="1"/>
  <c r="J6" i="6" s="1"/>
  <c r="K6" i="6" s="1"/>
  <c r="L6" i="6" s="1"/>
  <c r="M6" i="6" s="1"/>
  <c r="N6" i="6" s="1"/>
  <c r="E4" i="6"/>
  <c r="F4" i="6"/>
  <c r="E2" i="6"/>
  <c r="F2" i="6" s="1"/>
  <c r="G2" i="6" s="1"/>
  <c r="H2" i="6" s="1"/>
  <c r="I2" i="6" s="1"/>
  <c r="A2" i="6"/>
  <c r="E63" i="9"/>
  <c r="F63" i="9" s="1"/>
  <c r="G63" i="9" s="1"/>
  <c r="H63" i="9" s="1"/>
  <c r="I63" i="9" s="1"/>
  <c r="J63" i="9" s="1"/>
  <c r="K63" i="9" s="1"/>
  <c r="L63" i="9" s="1"/>
  <c r="M63" i="9" s="1"/>
  <c r="A2" i="9"/>
  <c r="E72" i="6"/>
  <c r="E75" i="6" s="1"/>
  <c r="E107" i="6" s="1"/>
  <c r="E110" i="6" s="1"/>
  <c r="E123" i="6" s="1"/>
  <c r="E125" i="6" s="1"/>
  <c r="E81" i="6" s="1"/>
  <c r="E84" i="6" s="1"/>
  <c r="E87" i="6" s="1"/>
  <c r="E101" i="6" s="1"/>
  <c r="E3" i="6" s="1"/>
  <c r="G99" i="6"/>
  <c r="I139" i="6"/>
  <c r="I141" i="6" s="1"/>
  <c r="I69" i="6" s="1"/>
  <c r="O139" i="6"/>
  <c r="M226" i="10"/>
  <c r="M38" i="10" s="1"/>
  <c r="G136" i="6"/>
  <c r="K38" i="10"/>
  <c r="N113" i="8"/>
  <c r="I206" i="10"/>
  <c r="I113" i="8"/>
  <c r="I115" i="8" s="1"/>
  <c r="H136" i="8"/>
  <c r="H109" i="8"/>
  <c r="I139" i="8"/>
  <c r="I141" i="8"/>
  <c r="I69" i="8" s="1"/>
  <c r="O139" i="8"/>
  <c r="G136" i="8"/>
  <c r="G109" i="8"/>
  <c r="F99" i="6"/>
  <c r="F136" i="6"/>
  <c r="F136" i="8"/>
  <c r="F109" i="8" s="1"/>
  <c r="D72" i="8"/>
  <c r="D75" i="8"/>
  <c r="D107" i="8" s="1"/>
  <c r="D110" i="8" s="1"/>
  <c r="D123" i="8" s="1"/>
  <c r="D125" i="8" s="1"/>
  <c r="H72" i="8"/>
  <c r="H75" i="8" s="1"/>
  <c r="H107" i="8" s="1"/>
  <c r="H110" i="8" s="1"/>
  <c r="H123" i="8" s="1"/>
  <c r="H136" i="6"/>
  <c r="E5" i="6"/>
  <c r="H99" i="6"/>
  <c r="E136" i="6"/>
  <c r="E99" i="6"/>
  <c r="G4" i="6"/>
  <c r="F5" i="6"/>
  <c r="I2" i="10"/>
  <c r="D175" i="10"/>
  <c r="E175" i="10" s="1"/>
  <c r="E176" i="10" s="1"/>
  <c r="I145" i="6"/>
  <c r="I147" i="6" s="1"/>
  <c r="I148" i="6" s="1"/>
  <c r="I70" i="6" s="1"/>
  <c r="G110" i="8"/>
  <c r="G123" i="8" s="1"/>
  <c r="E136" i="8"/>
  <c r="E109" i="8"/>
  <c r="F4" i="8"/>
  <c r="G4" i="8" s="1"/>
  <c r="G5" i="8" s="1"/>
  <c r="F72" i="8"/>
  <c r="F75" i="8" s="1"/>
  <c r="F107" i="8" s="1"/>
  <c r="I118" i="6"/>
  <c r="M118" i="6"/>
  <c r="I96" i="6"/>
  <c r="P96" i="6" s="1"/>
  <c r="K118" i="6"/>
  <c r="L45" i="8"/>
  <c r="J63" i="8"/>
  <c r="J206" i="10" s="1"/>
  <c r="I67" i="8"/>
  <c r="I64" i="8"/>
  <c r="I212" i="10" s="1"/>
  <c r="J2" i="8"/>
  <c r="K2" i="8"/>
  <c r="L2" i="8" s="1"/>
  <c r="M2" i="8" s="1"/>
  <c r="N2" i="8" s="1"/>
  <c r="K45" i="8"/>
  <c r="I96" i="8"/>
  <c r="P96" i="8" s="1"/>
  <c r="I147" i="8"/>
  <c r="I118" i="8"/>
  <c r="I121" i="8" s="1"/>
  <c r="G181" i="6"/>
  <c r="J96" i="6"/>
  <c r="K96" i="6" s="1"/>
  <c r="L96" i="6" s="1"/>
  <c r="M96" i="6" s="1"/>
  <c r="N96" i="6" s="1"/>
  <c r="F110" i="8"/>
  <c r="F123" i="8" s="1"/>
  <c r="M115" i="8"/>
  <c r="H172" i="8"/>
  <c r="L115" i="8"/>
  <c r="G172" i="8"/>
  <c r="K115" i="8"/>
  <c r="F172" i="8"/>
  <c r="N115" i="8"/>
  <c r="I172" i="8"/>
  <c r="D176" i="10"/>
  <c r="I108" i="8"/>
  <c r="D170" i="8" s="1"/>
  <c r="K151" i="10"/>
  <c r="I218" i="10"/>
  <c r="F5" i="8"/>
  <c r="E163" i="8"/>
  <c r="E164" i="8" s="1"/>
  <c r="D164" i="8"/>
  <c r="D165" i="8" s="1"/>
  <c r="J64" i="8"/>
  <c r="M45" i="8"/>
  <c r="N45" i="8"/>
  <c r="I148" i="8"/>
  <c r="I70" i="8"/>
  <c r="J145" i="8"/>
  <c r="J147" i="8" s="1"/>
  <c r="I93" i="8"/>
  <c r="P93" i="8"/>
  <c r="J96" i="8"/>
  <c r="K96" i="8" s="1"/>
  <c r="L96" i="8" s="1"/>
  <c r="M96" i="8" s="1"/>
  <c r="N96" i="8" s="1"/>
  <c r="F175" i="10"/>
  <c r="F176" i="10" s="1"/>
  <c r="L151" i="10"/>
  <c r="K145" i="8"/>
  <c r="K147" i="8" s="1"/>
  <c r="M151" i="10"/>
  <c r="N151" i="10"/>
  <c r="D35" i="9" l="1"/>
  <c r="D129" i="9" s="1"/>
  <c r="D81" i="8"/>
  <c r="D84" i="8" s="1"/>
  <c r="D87" i="8" s="1"/>
  <c r="D101" i="8" s="1"/>
  <c r="D3" i="8" s="1"/>
  <c r="E124" i="8"/>
  <c r="E125" i="8" s="1"/>
  <c r="E110" i="8"/>
  <c r="E123" i="8" s="1"/>
  <c r="E97" i="8"/>
  <c r="E98" i="8" s="1"/>
  <c r="E99" i="8" s="1"/>
  <c r="J67" i="8"/>
  <c r="J218" i="10" s="1"/>
  <c r="K63" i="8"/>
  <c r="K67" i="8" s="1"/>
  <c r="K218" i="10" s="1"/>
  <c r="I65" i="8"/>
  <c r="I208" i="10"/>
  <c r="I33" i="10" s="1"/>
  <c r="J226" i="10"/>
  <c r="J38" i="10" s="1"/>
  <c r="N115" i="6"/>
  <c r="I172" i="6"/>
  <c r="I115" i="6"/>
  <c r="D172" i="6"/>
  <c r="P121" i="6"/>
  <c r="O147" i="6"/>
  <c r="O93" i="6" s="1"/>
  <c r="O119" i="6"/>
  <c r="O121" i="6" s="1"/>
  <c r="I121" i="6"/>
  <c r="J63" i="6"/>
  <c r="I67" i="6"/>
  <c r="I217" i="10" s="1"/>
  <c r="I220" i="10" s="1"/>
  <c r="I37" i="10" s="1"/>
  <c r="I64" i="6"/>
  <c r="F101" i="6"/>
  <c r="F3" i="6" s="1"/>
  <c r="J115" i="6"/>
  <c r="E172" i="6"/>
  <c r="M113" i="6"/>
  <c r="M110" i="10"/>
  <c r="M83" i="10" s="1"/>
  <c r="K113" i="6"/>
  <c r="K110" i="10"/>
  <c r="K83" i="10" s="1"/>
  <c r="I226" i="10"/>
  <c r="I38" i="10" s="1"/>
  <c r="L226" i="10"/>
  <c r="L38" i="10" s="1"/>
  <c r="K121" i="6"/>
  <c r="M121" i="6"/>
  <c r="I110" i="10"/>
  <c r="I83" i="10" s="1"/>
  <c r="N110" i="10"/>
  <c r="N83" i="10" s="1"/>
  <c r="G175" i="10"/>
  <c r="I123" i="10"/>
  <c r="J121" i="10" s="1"/>
  <c r="J123" i="10" s="1"/>
  <c r="K121" i="10" s="1"/>
  <c r="K123" i="10" s="1"/>
  <c r="L121" i="10" s="1"/>
  <c r="L123" i="10" s="1"/>
  <c r="M121" i="10" s="1"/>
  <c r="J149" i="10"/>
  <c r="J156" i="10" s="1"/>
  <c r="I156" i="10"/>
  <c r="I128" i="10"/>
  <c r="J126" i="10" s="1"/>
  <c r="J128" i="10" s="1"/>
  <c r="K126" i="10" s="1"/>
  <c r="K128" i="10" s="1"/>
  <c r="L126" i="10" s="1"/>
  <c r="M123" i="10"/>
  <c r="N121" i="10" s="1"/>
  <c r="N123" i="10" s="1"/>
  <c r="I117" i="10"/>
  <c r="I118" i="10" s="1"/>
  <c r="J116" i="10" s="1"/>
  <c r="J117" i="10"/>
  <c r="N127" i="10"/>
  <c r="L127" i="10"/>
  <c r="K117" i="10"/>
  <c r="G181" i="8"/>
  <c r="M117" i="10"/>
  <c r="N117" i="10"/>
  <c r="E165" i="8"/>
  <c r="F163" i="8"/>
  <c r="K148" i="8"/>
  <c r="K70" i="8" s="1"/>
  <c r="K93" i="8"/>
  <c r="L145" i="8"/>
  <c r="L147" i="8" s="1"/>
  <c r="I52" i="10"/>
  <c r="I102" i="10" s="1"/>
  <c r="O124" i="6"/>
  <c r="H81" i="6"/>
  <c r="K115" i="6"/>
  <c r="F172" i="6"/>
  <c r="L148" i="10"/>
  <c r="I155" i="10"/>
  <c r="J148" i="8"/>
  <c r="J70" i="8" s="1"/>
  <c r="J93" i="8"/>
  <c r="J65" i="8"/>
  <c r="J212" i="10"/>
  <c r="K63" i="6"/>
  <c r="J145" i="6"/>
  <c r="J147" i="6" s="1"/>
  <c r="I93" i="6"/>
  <c r="P93" i="6" s="1"/>
  <c r="G5" i="6"/>
  <c r="H4" i="6"/>
  <c r="I71" i="8"/>
  <c r="I72" i="8" s="1"/>
  <c r="H4" i="8"/>
  <c r="I124" i="6"/>
  <c r="K64" i="8"/>
  <c r="K206" i="10"/>
  <c r="L63" i="8"/>
  <c r="I71" i="6"/>
  <c r="I142" i="6"/>
  <c r="I108" i="6"/>
  <c r="D170" i="6" s="1"/>
  <c r="D172" i="8"/>
  <c r="L121" i="6"/>
  <c r="N121" i="6"/>
  <c r="K121" i="8"/>
  <c r="J150" i="10"/>
  <c r="I157" i="10"/>
  <c r="I142" i="8"/>
  <c r="D163" i="6"/>
  <c r="J2" i="6"/>
  <c r="L113" i="6"/>
  <c r="L110" i="10"/>
  <c r="L83" i="10" s="1"/>
  <c r="J121" i="6"/>
  <c r="J113" i="8"/>
  <c r="J110" i="10"/>
  <c r="J83" i="10" s="1"/>
  <c r="O93" i="8"/>
  <c r="P145" i="8"/>
  <c r="P147" i="8" s="1"/>
  <c r="L76" i="9"/>
  <c r="M121" i="8"/>
  <c r="H181" i="8" l="1"/>
  <c r="D41" i="9"/>
  <c r="D42" i="9" s="1"/>
  <c r="M39" i="9" s="1"/>
  <c r="M43" i="9" s="1"/>
  <c r="J67" i="9" s="1"/>
  <c r="J83" i="9" s="1"/>
  <c r="D38" i="9"/>
  <c r="F97" i="8"/>
  <c r="F124" i="8"/>
  <c r="F125" i="8" s="1"/>
  <c r="E81" i="8"/>
  <c r="E84" i="8" s="1"/>
  <c r="E87" i="8" s="1"/>
  <c r="E101" i="8" s="1"/>
  <c r="E3" i="8" s="1"/>
  <c r="D79" i="9"/>
  <c r="H138" i="10" s="1"/>
  <c r="G182" i="6"/>
  <c r="P145" i="6"/>
  <c r="P147" i="6" s="1"/>
  <c r="I211" i="10"/>
  <c r="I214" i="10" s="1"/>
  <c r="I34" i="10" s="1"/>
  <c r="I65" i="6"/>
  <c r="I72" i="6" s="1"/>
  <c r="J205" i="10"/>
  <c r="J208" i="10" s="1"/>
  <c r="J33" i="10" s="1"/>
  <c r="J52" i="10" s="1"/>
  <c r="J102" i="10" s="1"/>
  <c r="J64" i="6"/>
  <c r="J67" i="6"/>
  <c r="J217" i="10" s="1"/>
  <c r="J220" i="10" s="1"/>
  <c r="J37" i="10" s="1"/>
  <c r="N85" i="10"/>
  <c r="I184" i="10"/>
  <c r="M85" i="10"/>
  <c r="H184" i="10"/>
  <c r="I85" i="10"/>
  <c r="D184" i="10"/>
  <c r="M115" i="6"/>
  <c r="H172" i="6"/>
  <c r="K85" i="10"/>
  <c r="F184" i="10"/>
  <c r="G176" i="10"/>
  <c r="H175" i="10"/>
  <c r="K149" i="10"/>
  <c r="L128" i="10"/>
  <c r="M126" i="10" s="1"/>
  <c r="M128" i="10" s="1"/>
  <c r="N126" i="10" s="1"/>
  <c r="N128" i="10" s="1"/>
  <c r="F164" i="8"/>
  <c r="G163" i="8"/>
  <c r="J85" i="10"/>
  <c r="E184" i="10"/>
  <c r="L115" i="6"/>
  <c r="G172" i="6"/>
  <c r="J139" i="8"/>
  <c r="I85" i="8"/>
  <c r="P85" i="8" s="1"/>
  <c r="K205" i="10"/>
  <c r="K208" i="10" s="1"/>
  <c r="K33" i="10" s="1"/>
  <c r="K67" i="6"/>
  <c r="L63" i="6"/>
  <c r="K64" i="6"/>
  <c r="M145" i="8"/>
  <c r="M147" i="8" s="1"/>
  <c r="L148" i="8"/>
  <c r="L70" i="8" s="1"/>
  <c r="L93" i="8"/>
  <c r="L149" i="10"/>
  <c r="K156" i="10"/>
  <c r="M76" i="9"/>
  <c r="E172" i="8"/>
  <c r="J115" i="8"/>
  <c r="K2" i="6"/>
  <c r="J2" i="10"/>
  <c r="I136" i="10"/>
  <c r="I85" i="6"/>
  <c r="P85" i="6" s="1"/>
  <c r="J139" i="6"/>
  <c r="M63" i="8"/>
  <c r="L67" i="8"/>
  <c r="L206" i="10"/>
  <c r="L64" i="8"/>
  <c r="L65" i="8" s="1"/>
  <c r="O6" i="8"/>
  <c r="H5" i="8"/>
  <c r="I4" i="8"/>
  <c r="O5" i="8"/>
  <c r="J155" i="10"/>
  <c r="J118" i="10"/>
  <c r="K116" i="10" s="1"/>
  <c r="E163" i="6"/>
  <c r="D164" i="6"/>
  <c r="J157" i="10"/>
  <c r="K150" i="10"/>
  <c r="I74" i="8"/>
  <c r="D167" i="8"/>
  <c r="K145" i="6"/>
  <c r="K147" i="6" s="1"/>
  <c r="J93" i="6"/>
  <c r="J148" i="6"/>
  <c r="J70" i="6" s="1"/>
  <c r="M148" i="10"/>
  <c r="C182" i="6"/>
  <c r="H84" i="6"/>
  <c r="H87" i="6" s="1"/>
  <c r="H101" i="6" s="1"/>
  <c r="H3" i="6" s="1"/>
  <c r="G182" i="8"/>
  <c r="D43" i="9"/>
  <c r="E79" i="9"/>
  <c r="G184" i="10"/>
  <c r="L85" i="10"/>
  <c r="K65" i="8"/>
  <c r="K212" i="10"/>
  <c r="O6" i="6"/>
  <c r="I4" i="6"/>
  <c r="O5" i="6"/>
  <c r="H5" i="6"/>
  <c r="H39" i="9" l="1"/>
  <c r="I82" i="9"/>
  <c r="L82" i="9" s="1"/>
  <c r="M82" i="9" s="1"/>
  <c r="H66" i="10" s="1"/>
  <c r="I66" i="10" s="1"/>
  <c r="J66" i="10" s="1"/>
  <c r="K66" i="10" s="1"/>
  <c r="L66" i="10" s="1"/>
  <c r="M66" i="10" s="1"/>
  <c r="N66" i="10" s="1"/>
  <c r="D25" i="9"/>
  <c r="D26" i="9" s="1"/>
  <c r="L134" i="9" s="1"/>
  <c r="M134" i="9" s="1"/>
  <c r="M51" i="9"/>
  <c r="M38" i="9"/>
  <c r="H67" i="9" s="1"/>
  <c r="C172" i="10"/>
  <c r="L116" i="9"/>
  <c r="K101" i="9"/>
  <c r="J116" i="9"/>
  <c r="M101" i="9"/>
  <c r="I116" i="9"/>
  <c r="I101" i="9"/>
  <c r="F81" i="8"/>
  <c r="F84" i="8" s="1"/>
  <c r="F87" i="8" s="1"/>
  <c r="G124" i="8"/>
  <c r="G125" i="8" s="1"/>
  <c r="F98" i="8"/>
  <c r="F99" i="8" s="1"/>
  <c r="G97" i="8"/>
  <c r="I74" i="6"/>
  <c r="I75" i="6" s="1"/>
  <c r="D167" i="6"/>
  <c r="I53" i="10"/>
  <c r="I103" i="10" s="1"/>
  <c r="I61" i="10"/>
  <c r="I35" i="10"/>
  <c r="J211" i="10"/>
  <c r="J214" i="10" s="1"/>
  <c r="J34" i="10" s="1"/>
  <c r="J65" i="6"/>
  <c r="H176" i="10"/>
  <c r="I175" i="10"/>
  <c r="I176" i="10" s="1"/>
  <c r="J176" i="10" s="1"/>
  <c r="H163" i="8"/>
  <c r="G164" i="8"/>
  <c r="G165" i="8" s="1"/>
  <c r="F165" i="8"/>
  <c r="I107" i="6"/>
  <c r="I97" i="6"/>
  <c r="I5" i="6"/>
  <c r="J4" i="6"/>
  <c r="H182" i="8"/>
  <c r="O74" i="8"/>
  <c r="P74" i="8"/>
  <c r="E164" i="6"/>
  <c r="F163" i="6"/>
  <c r="O148" i="8"/>
  <c r="O68" i="8"/>
  <c r="O64" i="8"/>
  <c r="O140" i="8"/>
  <c r="O141" i="8"/>
  <c r="O63" i="8"/>
  <c r="O69" i="8"/>
  <c r="O108" i="8" s="1"/>
  <c r="P6" i="8"/>
  <c r="O70" i="8"/>
  <c r="O67" i="8"/>
  <c r="L218" i="10"/>
  <c r="L2" i="6"/>
  <c r="K2" i="10"/>
  <c r="H60" i="10"/>
  <c r="K211" i="10"/>
  <c r="K214" i="10" s="1"/>
  <c r="K34" i="10" s="1"/>
  <c r="K35" i="10" s="1"/>
  <c r="K52" i="10"/>
  <c r="K102" i="10" s="1"/>
  <c r="D171" i="6"/>
  <c r="D168" i="6"/>
  <c r="D169" i="6" s="1"/>
  <c r="N148" i="10"/>
  <c r="K148" i="6"/>
  <c r="K70" i="6" s="1"/>
  <c r="K93" i="6"/>
  <c r="L145" i="6"/>
  <c r="L147" i="6" s="1"/>
  <c r="L150" i="10"/>
  <c r="K157" i="10"/>
  <c r="K118" i="10"/>
  <c r="L116" i="10" s="1"/>
  <c r="K155" i="10"/>
  <c r="M148" i="8"/>
  <c r="M70" i="8" s="1"/>
  <c r="M93" i="8"/>
  <c r="N145" i="8"/>
  <c r="N147" i="8" s="1"/>
  <c r="K65" i="6"/>
  <c r="O74" i="6"/>
  <c r="D171" i="8"/>
  <c r="D168" i="8"/>
  <c r="D169" i="8" s="1"/>
  <c r="J4" i="8"/>
  <c r="I5" i="8"/>
  <c r="L212" i="10"/>
  <c r="N63" i="8"/>
  <c r="M206" i="10"/>
  <c r="M64" i="8"/>
  <c r="M65" i="8" s="1"/>
  <c r="M67" i="8"/>
  <c r="I159" i="10"/>
  <c r="I137" i="10"/>
  <c r="M149" i="10"/>
  <c r="L156" i="10"/>
  <c r="L205" i="10"/>
  <c r="L208" i="10" s="1"/>
  <c r="L33" i="10" s="1"/>
  <c r="L64" i="6"/>
  <c r="L67" i="6"/>
  <c r="M63" i="6"/>
  <c r="J141" i="8"/>
  <c r="J69" i="8" s="1"/>
  <c r="J142" i="8"/>
  <c r="G79" i="9"/>
  <c r="P6" i="6"/>
  <c r="P74" i="6" s="1"/>
  <c r="O67" i="6"/>
  <c r="O140" i="6"/>
  <c r="O64" i="6"/>
  <c r="O68" i="6"/>
  <c r="O69" i="6"/>
  <c r="O108" i="6" s="1"/>
  <c r="O70" i="6"/>
  <c r="O63" i="6"/>
  <c r="O148" i="6"/>
  <c r="O141" i="6"/>
  <c r="M40" i="9"/>
  <c r="I75" i="8"/>
  <c r="E165" i="6"/>
  <c r="D165" i="6"/>
  <c r="J141" i="6"/>
  <c r="J69" i="6" s="1"/>
  <c r="K217" i="10"/>
  <c r="K220" i="10" s="1"/>
  <c r="K37" i="10" s="1"/>
  <c r="J101" i="9" l="1"/>
  <c r="L101" i="9"/>
  <c r="M116" i="9"/>
  <c r="K116" i="9"/>
  <c r="F101" i="8"/>
  <c r="F3" i="8" s="1"/>
  <c r="H97" i="8"/>
  <c r="H98" i="8" s="1"/>
  <c r="H99" i="8" s="1"/>
  <c r="G98" i="8"/>
  <c r="G99" i="8" s="1"/>
  <c r="H124" i="8"/>
  <c r="H125" i="8" s="1"/>
  <c r="G81" i="8"/>
  <c r="G84" i="8" s="1"/>
  <c r="G87" i="8" s="1"/>
  <c r="I62" i="10"/>
  <c r="I104" i="10"/>
  <c r="I105" i="10" s="1"/>
  <c r="J35" i="10"/>
  <c r="J61" i="10"/>
  <c r="J53" i="10"/>
  <c r="J103" i="10" s="1"/>
  <c r="J142" i="6"/>
  <c r="I163" i="8"/>
  <c r="I164" i="8" s="1"/>
  <c r="J164" i="8" s="1"/>
  <c r="H164" i="8"/>
  <c r="I165" i="8" s="1"/>
  <c r="J85" i="6"/>
  <c r="K139" i="6"/>
  <c r="K79" i="9"/>
  <c r="K67" i="9" s="1"/>
  <c r="M45" i="9"/>
  <c r="H38" i="9" s="1"/>
  <c r="H45" i="9" s="1"/>
  <c r="O82" i="6"/>
  <c r="O65" i="6"/>
  <c r="O91" i="6"/>
  <c r="O83" i="6"/>
  <c r="L211" i="10"/>
  <c r="L214" i="10" s="1"/>
  <c r="L34" i="10" s="1"/>
  <c r="L35" i="10" s="1"/>
  <c r="M218" i="10"/>
  <c r="N67" i="8"/>
  <c r="N206" i="10"/>
  <c r="N64" i="8"/>
  <c r="N65" i="8" s="1"/>
  <c r="I82" i="8"/>
  <c r="I83" i="8"/>
  <c r="I91" i="8"/>
  <c r="M145" i="6"/>
  <c r="M147" i="6" s="1"/>
  <c r="L93" i="6"/>
  <c r="L148" i="6"/>
  <c r="L70" i="6" s="1"/>
  <c r="K61" i="10"/>
  <c r="K53" i="10"/>
  <c r="K103" i="10" s="1"/>
  <c r="M2" i="6"/>
  <c r="L2" i="10"/>
  <c r="I83" i="6"/>
  <c r="I82" i="6"/>
  <c r="I91" i="6"/>
  <c r="J108" i="6"/>
  <c r="E170" i="6" s="1"/>
  <c r="J71" i="6"/>
  <c r="J72" i="6" s="1"/>
  <c r="O142" i="6"/>
  <c r="O113" i="6"/>
  <c r="O115" i="6" s="1"/>
  <c r="H133" i="10"/>
  <c r="M64" i="6"/>
  <c r="M205" i="10"/>
  <c r="M208" i="10" s="1"/>
  <c r="M33" i="10" s="1"/>
  <c r="N63" i="6"/>
  <c r="M65" i="6"/>
  <c r="M67" i="6"/>
  <c r="L52" i="10"/>
  <c r="L102" i="10" s="1"/>
  <c r="K4" i="8"/>
  <c r="J5" i="8"/>
  <c r="N93" i="8"/>
  <c r="N148" i="8"/>
  <c r="N70" i="8" s="1"/>
  <c r="L118" i="10"/>
  <c r="M116" i="10" s="1"/>
  <c r="L155" i="10"/>
  <c r="P69" i="8"/>
  <c r="P108" i="8" s="1"/>
  <c r="P70" i="8"/>
  <c r="P4" i="8"/>
  <c r="P68" i="8"/>
  <c r="P64" i="8"/>
  <c r="P63" i="8"/>
  <c r="P65" i="8" s="1"/>
  <c r="P67" i="8"/>
  <c r="P140" i="8"/>
  <c r="P113" i="8" s="1"/>
  <c r="P115" i="8" s="1"/>
  <c r="P148" i="8"/>
  <c r="O142" i="8"/>
  <c r="O113" i="8"/>
  <c r="O115" i="8" s="1"/>
  <c r="G163" i="6"/>
  <c r="F164" i="6"/>
  <c r="F165" i="6" s="1"/>
  <c r="P97" i="6"/>
  <c r="P98" i="6" s="1"/>
  <c r="I98" i="6"/>
  <c r="I107" i="8"/>
  <c r="I97" i="8"/>
  <c r="O71" i="6"/>
  <c r="K139" i="8"/>
  <c r="J85" i="8"/>
  <c r="L217" i="10"/>
  <c r="L220" i="10" s="1"/>
  <c r="L37" i="10" s="1"/>
  <c r="I138" i="10"/>
  <c r="J136" i="10" s="1"/>
  <c r="M212" i="10"/>
  <c r="O83" i="8"/>
  <c r="O91" i="8"/>
  <c r="P4" i="6"/>
  <c r="P140" i="6"/>
  <c r="P113" i="6" s="1"/>
  <c r="P115" i="6" s="1"/>
  <c r="P69" i="6"/>
  <c r="P108" i="6" s="1"/>
  <c r="P63" i="6"/>
  <c r="P70" i="6"/>
  <c r="P67" i="6"/>
  <c r="P64" i="6"/>
  <c r="P68" i="6"/>
  <c r="P148" i="6"/>
  <c r="J108" i="8"/>
  <c r="E170" i="8" s="1"/>
  <c r="J71" i="8"/>
  <c r="J72" i="8" s="1"/>
  <c r="L65" i="6"/>
  <c r="N149" i="10"/>
  <c r="N156" i="10" s="1"/>
  <c r="M156" i="10"/>
  <c r="M150" i="10"/>
  <c r="L157" i="10"/>
  <c r="O71" i="8"/>
  <c r="O65" i="8"/>
  <c r="O82" i="8"/>
  <c r="K4" i="6"/>
  <c r="J5" i="6"/>
  <c r="G101" i="8" l="1"/>
  <c r="G3" i="8" s="1"/>
  <c r="H81" i="8"/>
  <c r="O124" i="8"/>
  <c r="I124" i="8"/>
  <c r="J104" i="10"/>
  <c r="J105" i="10" s="1"/>
  <c r="J106" i="10" s="1"/>
  <c r="J62" i="10"/>
  <c r="H165" i="8"/>
  <c r="J165" i="8" s="1"/>
  <c r="J83" i="6"/>
  <c r="J133" i="6" s="1"/>
  <c r="J82" i="6"/>
  <c r="J132" i="6" s="1"/>
  <c r="J91" i="6"/>
  <c r="P2" i="6"/>
  <c r="P5" i="6"/>
  <c r="J137" i="10"/>
  <c r="J138" i="10" s="1"/>
  <c r="K136" i="10" s="1"/>
  <c r="J159" i="10"/>
  <c r="K141" i="8"/>
  <c r="K69" i="8" s="1"/>
  <c r="K142" i="8"/>
  <c r="O85" i="8"/>
  <c r="P139" i="8"/>
  <c r="M118" i="10"/>
  <c r="N116" i="10" s="1"/>
  <c r="M155" i="10"/>
  <c r="L4" i="8"/>
  <c r="K5" i="8"/>
  <c r="M211" i="10"/>
  <c r="M214" i="10" s="1"/>
  <c r="M34" i="10" s="1"/>
  <c r="J74" i="6"/>
  <c r="J75" i="6" s="1"/>
  <c r="E167" i="6"/>
  <c r="P91" i="6"/>
  <c r="I134" i="6"/>
  <c r="I92" i="6"/>
  <c r="I94" i="6" s="1"/>
  <c r="I99" i="6" s="1"/>
  <c r="N2" i="6"/>
  <c r="N2" i="10" s="1"/>
  <c r="M2" i="10"/>
  <c r="P82" i="8"/>
  <c r="P132" i="8" s="1"/>
  <c r="I132" i="8"/>
  <c r="L79" i="9"/>
  <c r="M79" i="9" s="1"/>
  <c r="H63" i="10" s="1"/>
  <c r="C195" i="10" s="1"/>
  <c r="D68" i="9"/>
  <c r="O132" i="6"/>
  <c r="L4" i="6"/>
  <c r="K5" i="6"/>
  <c r="P65" i="6"/>
  <c r="I131" i="10"/>
  <c r="H143" i="10"/>
  <c r="I141" i="10" s="1"/>
  <c r="P82" i="6"/>
  <c r="P132" i="6" s="1"/>
  <c r="I132" i="6"/>
  <c r="N218" i="10"/>
  <c r="D69" i="9"/>
  <c r="O133" i="6"/>
  <c r="O132" i="8"/>
  <c r="E68" i="9"/>
  <c r="G68" i="9" s="1"/>
  <c r="L68" i="9" s="1"/>
  <c r="N150" i="10"/>
  <c r="N157" i="10" s="1"/>
  <c r="M157" i="10"/>
  <c r="E167" i="8"/>
  <c r="J74" i="8"/>
  <c r="J75" i="8" s="1"/>
  <c r="O134" i="8"/>
  <c r="O92" i="8"/>
  <c r="O94" i="8" s="1"/>
  <c r="E77" i="9"/>
  <c r="P97" i="8"/>
  <c r="P98" i="8" s="1"/>
  <c r="I98" i="8"/>
  <c r="H163" i="6"/>
  <c r="G164" i="6"/>
  <c r="N205" i="10"/>
  <c r="N208" i="10" s="1"/>
  <c r="N33" i="10" s="1"/>
  <c r="N64" i="6"/>
  <c r="N65" i="6" s="1"/>
  <c r="N67" i="6"/>
  <c r="P83" i="6"/>
  <c r="P133" i="6" s="1"/>
  <c r="I133" i="6"/>
  <c r="K62" i="10"/>
  <c r="K104" i="10"/>
  <c r="K105" i="10" s="1"/>
  <c r="K106" i="10" s="1"/>
  <c r="P91" i="8"/>
  <c r="I92" i="8"/>
  <c r="I94" i="8" s="1"/>
  <c r="I134" i="8"/>
  <c r="N212" i="10"/>
  <c r="O134" i="6"/>
  <c r="D77" i="9"/>
  <c r="O92" i="6"/>
  <c r="O94" i="6" s="1"/>
  <c r="O72" i="8"/>
  <c r="O75" i="8" s="1"/>
  <c r="P71" i="6"/>
  <c r="O133" i="8"/>
  <c r="E69" i="9"/>
  <c r="P71" i="8"/>
  <c r="P72" i="8" s="1"/>
  <c r="P75" i="8" s="1"/>
  <c r="P107" i="8" s="1"/>
  <c r="P2" i="8"/>
  <c r="P5" i="8"/>
  <c r="J82" i="8"/>
  <c r="J132" i="8" s="1"/>
  <c r="J91" i="8"/>
  <c r="J83" i="8"/>
  <c r="J133" i="8" s="1"/>
  <c r="M217" i="10"/>
  <c r="M220" i="10" s="1"/>
  <c r="M37" i="10" s="1"/>
  <c r="M52" i="10"/>
  <c r="M102" i="10" s="1"/>
  <c r="M35" i="10"/>
  <c r="O85" i="6"/>
  <c r="D71" i="9" s="1"/>
  <c r="P139" i="6"/>
  <c r="M93" i="6"/>
  <c r="N145" i="6"/>
  <c r="N147" i="6" s="1"/>
  <c r="M148" i="6"/>
  <c r="M70" i="6" s="1"/>
  <c r="P83" i="8"/>
  <c r="P133" i="8" s="1"/>
  <c r="I133" i="8"/>
  <c r="L61" i="10"/>
  <c r="L53" i="10"/>
  <c r="L103" i="10" s="1"/>
  <c r="O72" i="6"/>
  <c r="O75" i="6" s="1"/>
  <c r="K141" i="6"/>
  <c r="K69" i="6" s="1"/>
  <c r="K142" i="6"/>
  <c r="J107" i="8" l="1"/>
  <c r="J97" i="8"/>
  <c r="J98" i="8" s="1"/>
  <c r="H84" i="8"/>
  <c r="H87" i="8" s="1"/>
  <c r="H101" i="8" s="1"/>
  <c r="H3" i="8" s="1"/>
  <c r="C182" i="8"/>
  <c r="E185" i="10"/>
  <c r="J79" i="10"/>
  <c r="K137" i="10"/>
  <c r="K138" i="10" s="1"/>
  <c r="L136" i="10" s="1"/>
  <c r="K159" i="10"/>
  <c r="J107" i="6"/>
  <c r="J97" i="6"/>
  <c r="E168" i="8"/>
  <c r="E169" i="8" s="1"/>
  <c r="E171" i="8"/>
  <c r="P72" i="6"/>
  <c r="P75" i="6" s="1"/>
  <c r="P107" i="6" s="1"/>
  <c r="O135" i="6"/>
  <c r="O136" i="6" s="1"/>
  <c r="O109" i="6" s="1"/>
  <c r="N118" i="10"/>
  <c r="N155" i="10"/>
  <c r="J134" i="6"/>
  <c r="J135" i="6" s="1"/>
  <c r="J92" i="6"/>
  <c r="J94" i="6" s="1"/>
  <c r="K85" i="6"/>
  <c r="L139" i="6"/>
  <c r="L104" i="10"/>
  <c r="L105" i="10" s="1"/>
  <c r="L106" i="10" s="1"/>
  <c r="L62" i="10"/>
  <c r="N93" i="6"/>
  <c r="N148" i="6"/>
  <c r="N70" i="6" s="1"/>
  <c r="O97" i="8"/>
  <c r="O107" i="8"/>
  <c r="O135" i="8"/>
  <c r="O136" i="8" s="1"/>
  <c r="O109" i="8" s="1"/>
  <c r="I132" i="10"/>
  <c r="I142" i="10" s="1"/>
  <c r="I88" i="10" s="1"/>
  <c r="I91" i="10" s="1"/>
  <c r="I158" i="10"/>
  <c r="I160" i="10" s="1"/>
  <c r="I40" i="10" s="1"/>
  <c r="M68" i="9"/>
  <c r="H52" i="10" s="1"/>
  <c r="H102" i="10" s="1"/>
  <c r="P134" i="6"/>
  <c r="P135" i="6" s="1"/>
  <c r="P92" i="6"/>
  <c r="P94" i="6" s="1"/>
  <c r="P99" i="6" s="1"/>
  <c r="K82" i="8"/>
  <c r="K132" i="8" s="1"/>
  <c r="K83" i="8"/>
  <c r="K133" i="8" s="1"/>
  <c r="K91" i="8"/>
  <c r="K85" i="8"/>
  <c r="L139" i="8"/>
  <c r="K108" i="6"/>
  <c r="F170" i="6" s="1"/>
  <c r="K71" i="6"/>
  <c r="K72" i="6" s="1"/>
  <c r="J134" i="8"/>
  <c r="J92" i="8"/>
  <c r="J94" i="8" s="1"/>
  <c r="P134" i="8"/>
  <c r="P135" i="8" s="1"/>
  <c r="P136" i="8" s="1"/>
  <c r="P109" i="8" s="1"/>
  <c r="P110" i="8" s="1"/>
  <c r="P123" i="8" s="1"/>
  <c r="P92" i="8"/>
  <c r="P94" i="8" s="1"/>
  <c r="P99" i="8" s="1"/>
  <c r="N211" i="10"/>
  <c r="N214" i="10" s="1"/>
  <c r="N34" i="10" s="1"/>
  <c r="I163" i="6"/>
  <c r="I164" i="6" s="1"/>
  <c r="J164" i="6" s="1"/>
  <c r="H164" i="6"/>
  <c r="H165" i="6" s="1"/>
  <c r="J165" i="6" s="1"/>
  <c r="I135" i="6"/>
  <c r="I136" i="6" s="1"/>
  <c r="K82" i="6"/>
  <c r="K132" i="6" s="1"/>
  <c r="K91" i="6"/>
  <c r="K83" i="6"/>
  <c r="K133" i="6" s="1"/>
  <c r="E171" i="6"/>
  <c r="E168" i="6"/>
  <c r="E169" i="6" s="1"/>
  <c r="L5" i="8"/>
  <c r="M4" i="8"/>
  <c r="P141" i="8"/>
  <c r="P142" i="8" s="1"/>
  <c r="K71" i="8"/>
  <c r="K72" i="8" s="1"/>
  <c r="K108" i="8"/>
  <c r="F170" i="8" s="1"/>
  <c r="O97" i="6"/>
  <c r="O107" i="6"/>
  <c r="P142" i="6"/>
  <c r="P141" i="6"/>
  <c r="J135" i="8"/>
  <c r="D78" i="9"/>
  <c r="D80" i="9" s="1"/>
  <c r="K79" i="10"/>
  <c r="F185" i="10"/>
  <c r="N217" i="10"/>
  <c r="N220" i="10" s="1"/>
  <c r="N37" i="10" s="1"/>
  <c r="N52" i="10"/>
  <c r="N102" i="10" s="1"/>
  <c r="I99" i="8"/>
  <c r="E78" i="9"/>
  <c r="E80" i="9" s="1"/>
  <c r="G77" i="9"/>
  <c r="L77" i="9" s="1"/>
  <c r="L78" i="9" s="1"/>
  <c r="L80" i="9" s="1"/>
  <c r="G165" i="6"/>
  <c r="L5" i="6"/>
  <c r="M4" i="6"/>
  <c r="I135" i="8"/>
  <c r="I136" i="8" s="1"/>
  <c r="M53" i="10"/>
  <c r="M103" i="10" s="1"/>
  <c r="M61" i="10"/>
  <c r="E71" i="9"/>
  <c r="D52" i="9"/>
  <c r="F52" i="9" s="1"/>
  <c r="F71" i="9" s="1"/>
  <c r="J136" i="8" l="1"/>
  <c r="P136" i="6"/>
  <c r="P109" i="6" s="1"/>
  <c r="J136" i="6"/>
  <c r="J109" i="6" s="1"/>
  <c r="J110" i="6" s="1"/>
  <c r="J123" i="6" s="1"/>
  <c r="M77" i="9"/>
  <c r="H61" i="10" s="1"/>
  <c r="G185" i="10"/>
  <c r="L79" i="10"/>
  <c r="N61" i="10"/>
  <c r="N53" i="10"/>
  <c r="N103" i="10" s="1"/>
  <c r="K74" i="6"/>
  <c r="K75" i="6" s="1"/>
  <c r="K107" i="6" s="1"/>
  <c r="F167" i="6"/>
  <c r="L141" i="8"/>
  <c r="L69" i="8" s="1"/>
  <c r="I133" i="10"/>
  <c r="J131" i="10" s="1"/>
  <c r="O110" i="8"/>
  <c r="O123" i="8" s="1"/>
  <c r="O125" i="8" s="1"/>
  <c r="I143" i="10"/>
  <c r="L159" i="10"/>
  <c r="L137" i="10"/>
  <c r="L138" i="10" s="1"/>
  <c r="M136" i="10" s="1"/>
  <c r="K74" i="8"/>
  <c r="K75" i="8" s="1"/>
  <c r="F167" i="8"/>
  <c r="L82" i="8"/>
  <c r="L132" i="8" s="1"/>
  <c r="L91" i="8"/>
  <c r="L83" i="8"/>
  <c r="L133" i="8" s="1"/>
  <c r="G71" i="9"/>
  <c r="L71" i="9" s="1"/>
  <c r="M71" i="9" s="1"/>
  <c r="H55" i="10" s="1"/>
  <c r="H112" i="10" s="1"/>
  <c r="I109" i="10" s="1"/>
  <c r="D173" i="8"/>
  <c r="D174" i="8" s="1"/>
  <c r="D176" i="8" s="1"/>
  <c r="I109" i="8"/>
  <c r="I110" i="8" s="1"/>
  <c r="I123" i="8" s="1"/>
  <c r="I125" i="8" s="1"/>
  <c r="O110" i="6"/>
  <c r="O123" i="6" s="1"/>
  <c r="O125" i="6" s="1"/>
  <c r="K134" i="6"/>
  <c r="K135" i="6" s="1"/>
  <c r="K136" i="6" s="1"/>
  <c r="K92" i="6"/>
  <c r="K94" i="6" s="1"/>
  <c r="I165" i="6"/>
  <c r="J99" i="8"/>
  <c r="E83" i="9"/>
  <c r="O98" i="8"/>
  <c r="O99" i="8" s="1"/>
  <c r="J98" i="6"/>
  <c r="J99" i="6" s="1"/>
  <c r="M5" i="6"/>
  <c r="N4" i="6"/>
  <c r="N5" i="6" s="1"/>
  <c r="E173" i="8"/>
  <c r="E174" i="8" s="1"/>
  <c r="E176" i="8" s="1"/>
  <c r="E178" i="8" s="1"/>
  <c r="J109" i="8"/>
  <c r="J110" i="8" s="1"/>
  <c r="J123" i="8" s="1"/>
  <c r="O98" i="6"/>
  <c r="O99" i="6" s="1"/>
  <c r="D83" i="9"/>
  <c r="E173" i="6"/>
  <c r="E174" i="6" s="1"/>
  <c r="E176" i="6" s="1"/>
  <c r="E178" i="6" s="1"/>
  <c r="K92" i="8"/>
  <c r="K94" i="8" s="1"/>
  <c r="K134" i="8"/>
  <c r="K135" i="8" s="1"/>
  <c r="K136" i="8" s="1"/>
  <c r="M104" i="10"/>
  <c r="M105" i="10" s="1"/>
  <c r="M106" i="10" s="1"/>
  <c r="M62" i="10"/>
  <c r="L82" i="6"/>
  <c r="L132" i="6" s="1"/>
  <c r="L91" i="6"/>
  <c r="L83" i="6"/>
  <c r="L133" i="6" s="1"/>
  <c r="N35" i="10"/>
  <c r="M5" i="8"/>
  <c r="N4" i="8"/>
  <c r="N5" i="8" s="1"/>
  <c r="D173" i="6"/>
  <c r="D174" i="6" s="1"/>
  <c r="D176" i="6" s="1"/>
  <c r="I109" i="6"/>
  <c r="I110" i="6" s="1"/>
  <c r="I123" i="6" s="1"/>
  <c r="I125" i="6" s="1"/>
  <c r="L141" i="6"/>
  <c r="L69" i="6" s="1"/>
  <c r="P110" i="6"/>
  <c r="P123" i="6" s="1"/>
  <c r="K97" i="6" l="1"/>
  <c r="M78" i="9"/>
  <c r="M80" i="9" s="1"/>
  <c r="F173" i="8"/>
  <c r="K109" i="8"/>
  <c r="H185" i="10"/>
  <c r="M79" i="10"/>
  <c r="M159" i="10"/>
  <c r="M137" i="10"/>
  <c r="M138" i="10" s="1"/>
  <c r="N136" i="10" s="1"/>
  <c r="D178" i="6"/>
  <c r="F173" i="6"/>
  <c r="K109" i="6"/>
  <c r="K110" i="6" s="1"/>
  <c r="K123" i="6" s="1"/>
  <c r="D178" i="8"/>
  <c r="F168" i="6"/>
  <c r="F169" i="6" s="1"/>
  <c r="F171" i="6"/>
  <c r="J124" i="6"/>
  <c r="J125" i="6" s="1"/>
  <c r="I81" i="6"/>
  <c r="M82" i="6"/>
  <c r="M132" i="6" s="1"/>
  <c r="M83" i="6"/>
  <c r="M133" i="6" s="1"/>
  <c r="M91" i="6"/>
  <c r="O81" i="6"/>
  <c r="P124" i="6"/>
  <c r="P125" i="6" s="1"/>
  <c r="J124" i="8"/>
  <c r="J125" i="8" s="1"/>
  <c r="I81" i="8"/>
  <c r="L134" i="8"/>
  <c r="L92" i="8"/>
  <c r="L94" i="8" s="1"/>
  <c r="P124" i="8"/>
  <c r="P125" i="8" s="1"/>
  <c r="O81" i="8"/>
  <c r="L108" i="8"/>
  <c r="G170" i="8" s="1"/>
  <c r="L71" i="8"/>
  <c r="L72" i="8" s="1"/>
  <c r="J158" i="10"/>
  <c r="J160" i="10" s="1"/>
  <c r="J40" i="10" s="1"/>
  <c r="J132" i="10"/>
  <c r="J142" i="10" s="1"/>
  <c r="J88" i="10" s="1"/>
  <c r="J91" i="10" s="1"/>
  <c r="N104" i="10"/>
  <c r="N105" i="10" s="1"/>
  <c r="N106" i="10" s="1"/>
  <c r="N62" i="10"/>
  <c r="L108" i="6"/>
  <c r="G170" i="6" s="1"/>
  <c r="L71" i="6"/>
  <c r="L72" i="6" s="1"/>
  <c r="L135" i="8"/>
  <c r="L136" i="8" s="1"/>
  <c r="N82" i="8"/>
  <c r="N132" i="8" s="1"/>
  <c r="N83" i="8"/>
  <c r="N133" i="8" s="1"/>
  <c r="N91" i="8"/>
  <c r="D84" i="9"/>
  <c r="D85" i="9" s="1"/>
  <c r="K98" i="6"/>
  <c r="K99" i="6" s="1"/>
  <c r="G83" i="9"/>
  <c r="H83" i="9"/>
  <c r="E84" i="9"/>
  <c r="E85" i="9" s="1"/>
  <c r="I111" i="10"/>
  <c r="I39" i="10" s="1"/>
  <c r="K107" i="8"/>
  <c r="K110" i="8" s="1"/>
  <c r="K123" i="8" s="1"/>
  <c r="K97" i="8"/>
  <c r="H104" i="10"/>
  <c r="H62" i="10"/>
  <c r="H64" i="10" s="1"/>
  <c r="L142" i="6"/>
  <c r="M82" i="8"/>
  <c r="M132" i="8" s="1"/>
  <c r="M91" i="8"/>
  <c r="M83" i="8"/>
  <c r="M133" i="8" s="1"/>
  <c r="L134" i="6"/>
  <c r="L135" i="6" s="1"/>
  <c r="L136" i="6" s="1"/>
  <c r="L92" i="6"/>
  <c r="L94" i="6" s="1"/>
  <c r="N82" i="6"/>
  <c r="N132" i="6" s="1"/>
  <c r="N83" i="6"/>
  <c r="N133" i="6" s="1"/>
  <c r="N91" i="6"/>
  <c r="F171" i="8"/>
  <c r="F168" i="8"/>
  <c r="F169" i="8"/>
  <c r="F174" i="8" s="1"/>
  <c r="F176" i="8" s="1"/>
  <c r="F178" i="8" s="1"/>
  <c r="I63" i="10"/>
  <c r="I64" i="10" s="1"/>
  <c r="J141" i="10"/>
  <c r="L142" i="8"/>
  <c r="F174" i="6" l="1"/>
  <c r="F176" i="6" s="1"/>
  <c r="F178" i="6" s="1"/>
  <c r="J143" i="10"/>
  <c r="K141" i="10" s="1"/>
  <c r="J133" i="10"/>
  <c r="K131" i="10" s="1"/>
  <c r="K132" i="10" s="1"/>
  <c r="K142" i="10" s="1"/>
  <c r="K88" i="10" s="1"/>
  <c r="K91" i="10" s="1"/>
  <c r="I112" i="10"/>
  <c r="J109" i="10" s="1"/>
  <c r="G173" i="6"/>
  <c r="L109" i="6"/>
  <c r="J81" i="8"/>
  <c r="J84" i="8" s="1"/>
  <c r="J87" i="8" s="1"/>
  <c r="J101" i="8" s="1"/>
  <c r="J3" i="8" s="1"/>
  <c r="K124" i="8"/>
  <c r="N159" i="10"/>
  <c r="N137" i="10"/>
  <c r="M139" i="6"/>
  <c r="L85" i="6"/>
  <c r="I41" i="10"/>
  <c r="I42" i="10" s="1"/>
  <c r="I78" i="10"/>
  <c r="D182" i="10" s="1"/>
  <c r="L83" i="9"/>
  <c r="L109" i="8"/>
  <c r="G173" i="8"/>
  <c r="O84" i="8"/>
  <c r="O87" i="8" s="1"/>
  <c r="D44" i="9"/>
  <c r="D45" i="9" s="1"/>
  <c r="G183" i="8"/>
  <c r="E67" i="9"/>
  <c r="D51" i="9"/>
  <c r="I84" i="8"/>
  <c r="I87" i="8" s="1"/>
  <c r="I101" i="8" s="1"/>
  <c r="I3" i="8" s="1"/>
  <c r="P81" i="8"/>
  <c r="P84" i="8" s="1"/>
  <c r="P87" i="8" s="1"/>
  <c r="P101" i="8" s="1"/>
  <c r="P3" i="8" s="1"/>
  <c r="M134" i="6"/>
  <c r="M135" i="6" s="1"/>
  <c r="M136" i="6" s="1"/>
  <c r="M92" i="6"/>
  <c r="M94" i="6" s="1"/>
  <c r="M139" i="8"/>
  <c r="L85" i="8"/>
  <c r="N92" i="6"/>
  <c r="N94" i="6" s="1"/>
  <c r="N134" i="6"/>
  <c r="N135" i="6" s="1"/>
  <c r="K124" i="6"/>
  <c r="J81" i="6"/>
  <c r="J84" i="6" s="1"/>
  <c r="J87" i="6" s="1"/>
  <c r="J101" i="6" s="1"/>
  <c r="J3" i="6" s="1"/>
  <c r="M92" i="8"/>
  <c r="M94" i="8" s="1"/>
  <c r="M134" i="8"/>
  <c r="M135" i="8" s="1"/>
  <c r="M136" i="8" s="1"/>
  <c r="N134" i="8"/>
  <c r="N135" i="8" s="1"/>
  <c r="N92" i="8"/>
  <c r="N94" i="8" s="1"/>
  <c r="N79" i="10"/>
  <c r="I185" i="10"/>
  <c r="K98" i="8"/>
  <c r="K99" i="8" s="1"/>
  <c r="G167" i="6"/>
  <c r="L74" i="6"/>
  <c r="L75" i="6" s="1"/>
  <c r="K158" i="10"/>
  <c r="K160" i="10" s="1"/>
  <c r="K40" i="10" s="1"/>
  <c r="G167" i="8"/>
  <c r="L74" i="8"/>
  <c r="L75" i="8" s="1"/>
  <c r="L107" i="8" s="1"/>
  <c r="L110" i="8" s="1"/>
  <c r="L123" i="8" s="1"/>
  <c r="I84" i="6"/>
  <c r="I87" i="6" s="1"/>
  <c r="I101" i="6" s="1"/>
  <c r="I3" i="6" s="1"/>
  <c r="P81" i="6"/>
  <c r="P84" i="6" s="1"/>
  <c r="P87" i="6" s="1"/>
  <c r="P101" i="6" s="1"/>
  <c r="P3" i="6" s="1"/>
  <c r="K125" i="6"/>
  <c r="K125" i="8"/>
  <c r="O84" i="6"/>
  <c r="O87" i="6" s="1"/>
  <c r="O101" i="6" s="1"/>
  <c r="O3" i="6" s="1"/>
  <c r="D67" i="9"/>
  <c r="G183" i="6"/>
  <c r="G184" i="6" s="1"/>
  <c r="C178" i="6" s="1"/>
  <c r="N136" i="6" l="1"/>
  <c r="I173" i="6" s="1"/>
  <c r="J63" i="10"/>
  <c r="J64" i="10" s="1"/>
  <c r="I55" i="10"/>
  <c r="H173" i="8"/>
  <c r="M109" i="8"/>
  <c r="N136" i="8"/>
  <c r="L107" i="6"/>
  <c r="L110" i="6" s="1"/>
  <c r="L123" i="6" s="1"/>
  <c r="L97" i="6"/>
  <c r="D54" i="9"/>
  <c r="F51" i="9"/>
  <c r="H173" i="6"/>
  <c r="M109" i="6"/>
  <c r="G168" i="6"/>
  <c r="G169" i="6" s="1"/>
  <c r="G174" i="6" s="1"/>
  <c r="G176" i="6" s="1"/>
  <c r="G171" i="6"/>
  <c r="L97" i="8"/>
  <c r="E70" i="9"/>
  <c r="E73" i="9" s="1"/>
  <c r="E87" i="9" s="1"/>
  <c r="G67" i="9"/>
  <c r="L67" i="9" s="1"/>
  <c r="M67" i="9" s="1"/>
  <c r="L84" i="9"/>
  <c r="L85" i="9" s="1"/>
  <c r="M83" i="9"/>
  <c r="H183" i="8"/>
  <c r="H184" i="8" s="1"/>
  <c r="G184" i="8"/>
  <c r="C178" i="8" s="1"/>
  <c r="M141" i="6"/>
  <c r="M69" i="6" s="1"/>
  <c r="G168" i="8"/>
  <c r="G169" i="8" s="1"/>
  <c r="G174" i="8" s="1"/>
  <c r="G176" i="8" s="1"/>
  <c r="G171" i="8"/>
  <c r="M52" i="9"/>
  <c r="M53" i="9" s="1"/>
  <c r="O101" i="8"/>
  <c r="O3" i="8" s="1"/>
  <c r="K81" i="8"/>
  <c r="K84" i="8" s="1"/>
  <c r="K87" i="8" s="1"/>
  <c r="K101" i="8" s="1"/>
  <c r="K3" i="8" s="1"/>
  <c r="L124" i="8"/>
  <c r="L125" i="8" s="1"/>
  <c r="J111" i="10"/>
  <c r="J39" i="10" s="1"/>
  <c r="D70" i="9"/>
  <c r="D73" i="9" s="1"/>
  <c r="D87" i="9" s="1"/>
  <c r="L124" i="6"/>
  <c r="K81" i="6"/>
  <c r="K84" i="6" s="1"/>
  <c r="K87" i="6" s="1"/>
  <c r="K101" i="6" s="1"/>
  <c r="K3" i="6" s="1"/>
  <c r="K133" i="10"/>
  <c r="L131" i="10" s="1"/>
  <c r="K143" i="10"/>
  <c r="M142" i="8"/>
  <c r="M141" i="8"/>
  <c r="M69" i="8" s="1"/>
  <c r="I44" i="10"/>
  <c r="I45" i="10" s="1"/>
  <c r="I77" i="10" s="1"/>
  <c r="D179" i="10"/>
  <c r="N138" i="10"/>
  <c r="N109" i="6" l="1"/>
  <c r="L81" i="8"/>
  <c r="L84" i="8" s="1"/>
  <c r="L87" i="8" s="1"/>
  <c r="M124" i="8"/>
  <c r="G178" i="8"/>
  <c r="G178" i="6"/>
  <c r="L125" i="6"/>
  <c r="K63" i="10"/>
  <c r="K64" i="10" s="1"/>
  <c r="L141" i="10"/>
  <c r="H51" i="10"/>
  <c r="M84" i="9"/>
  <c r="M85" i="9" s="1"/>
  <c r="H67" i="10"/>
  <c r="L98" i="8"/>
  <c r="L99" i="8" s="1"/>
  <c r="I173" i="8"/>
  <c r="N109" i="8"/>
  <c r="D183" i="10"/>
  <c r="D180" i="10"/>
  <c r="D181" i="10" s="1"/>
  <c r="J78" i="10"/>
  <c r="E182" i="10" s="1"/>
  <c r="J41" i="10"/>
  <c r="J42" i="10" s="1"/>
  <c r="M108" i="6"/>
  <c r="H170" i="6" s="1"/>
  <c r="M71" i="6"/>
  <c r="M72" i="6" s="1"/>
  <c r="F54" i="9"/>
  <c r="M55" i="9" s="1"/>
  <c r="M56" i="9" s="1"/>
  <c r="M57" i="9" s="1"/>
  <c r="H72" i="9" s="1"/>
  <c r="L72" i="9" s="1"/>
  <c r="M72" i="9" s="1"/>
  <c r="H56" i="10" s="1"/>
  <c r="I56" i="10" s="1"/>
  <c r="J56" i="10" s="1"/>
  <c r="K56" i="10" s="1"/>
  <c r="L56" i="10" s="1"/>
  <c r="M56" i="10" s="1"/>
  <c r="N56" i="10" s="1"/>
  <c r="F69" i="9"/>
  <c r="G69" i="9" s="1"/>
  <c r="L69" i="9" s="1"/>
  <c r="M69" i="9" s="1"/>
  <c r="H53" i="10" s="1"/>
  <c r="H103" i="10" s="1"/>
  <c r="H105" i="10" s="1"/>
  <c r="I106" i="10" s="1"/>
  <c r="L132" i="10"/>
  <c r="L142" i="10" s="1"/>
  <c r="L88" i="10" s="1"/>
  <c r="L91" i="10" s="1"/>
  <c r="L158" i="10"/>
  <c r="L160" i="10" s="1"/>
  <c r="L40" i="10" s="1"/>
  <c r="M85" i="8"/>
  <c r="N139" i="8"/>
  <c r="M108" i="8"/>
  <c r="H170" i="8" s="1"/>
  <c r="M71" i="8"/>
  <c r="M72" i="8" s="1"/>
  <c r="J112" i="10"/>
  <c r="M142" i="6"/>
  <c r="L98" i="6"/>
  <c r="L99" i="6" s="1"/>
  <c r="L101" i="8" l="1"/>
  <c r="L3" i="8" s="1"/>
  <c r="L133" i="10"/>
  <c r="M131" i="10" s="1"/>
  <c r="M158" i="10" s="1"/>
  <c r="M160" i="10" s="1"/>
  <c r="M40" i="10" s="1"/>
  <c r="L70" i="9"/>
  <c r="L73" i="9" s="1"/>
  <c r="L87" i="9" s="1"/>
  <c r="N139" i="6"/>
  <c r="M85" i="6"/>
  <c r="M132" i="10"/>
  <c r="M142" i="10" s="1"/>
  <c r="M88" i="10" s="1"/>
  <c r="M91" i="10" s="1"/>
  <c r="E179" i="10"/>
  <c r="J44" i="10"/>
  <c r="J45" i="10" s="1"/>
  <c r="M70" i="9"/>
  <c r="M73" i="9" s="1"/>
  <c r="M87" i="9" s="1"/>
  <c r="M124" i="6"/>
  <c r="L81" i="6"/>
  <c r="L84" i="6" s="1"/>
  <c r="L87" i="6" s="1"/>
  <c r="L101" i="6" s="1"/>
  <c r="L3" i="6" s="1"/>
  <c r="N141" i="8"/>
  <c r="N69" i="8" s="1"/>
  <c r="N142" i="8"/>
  <c r="N85" i="8" s="1"/>
  <c r="H167" i="6"/>
  <c r="M74" i="6"/>
  <c r="M75" i="6" s="1"/>
  <c r="H68" i="10"/>
  <c r="H69" i="10" s="1"/>
  <c r="I67" i="10"/>
  <c r="C194" i="10"/>
  <c r="L130" i="9" s="1"/>
  <c r="M130" i="9" s="1"/>
  <c r="H95" i="10"/>
  <c r="I94" i="10" s="1"/>
  <c r="H54" i="10"/>
  <c r="H57" i="10" s="1"/>
  <c r="K109" i="10"/>
  <c r="J55" i="10"/>
  <c r="L143" i="10"/>
  <c r="M74" i="8"/>
  <c r="M75" i="8" s="1"/>
  <c r="H167" i="8"/>
  <c r="D185" i="10"/>
  <c r="D186" i="10" s="1"/>
  <c r="D188" i="10" s="1"/>
  <c r="I79" i="10"/>
  <c r="I80" i="10" s="1"/>
  <c r="I93" i="10" s="1"/>
  <c r="J77" i="10" l="1"/>
  <c r="J80" i="10" s="1"/>
  <c r="I97" i="9"/>
  <c r="I105" i="9" s="1"/>
  <c r="I107" i="9" s="1"/>
  <c r="I95" i="10"/>
  <c r="I51" i="10" s="1"/>
  <c r="I54" i="10" s="1"/>
  <c r="I57" i="10" s="1"/>
  <c r="D190" i="10"/>
  <c r="M107" i="6"/>
  <c r="M110" i="6" s="1"/>
  <c r="M123" i="6" s="1"/>
  <c r="M125" i="6" s="1"/>
  <c r="M97" i="6"/>
  <c r="M107" i="8"/>
  <c r="M110" i="8" s="1"/>
  <c r="M123" i="8" s="1"/>
  <c r="M125" i="8" s="1"/>
  <c r="M97" i="8"/>
  <c r="I68" i="10"/>
  <c r="I69" i="10" s="1"/>
  <c r="J67" i="10"/>
  <c r="L63" i="10"/>
  <c r="L64" i="10" s="1"/>
  <c r="M141" i="10"/>
  <c r="M143" i="10" s="1"/>
  <c r="H71" i="10"/>
  <c r="H3" i="10" s="1"/>
  <c r="M133" i="10"/>
  <c r="N131" i="10" s="1"/>
  <c r="K111" i="10"/>
  <c r="K39" i="10" s="1"/>
  <c r="H171" i="6"/>
  <c r="N164" i="6" s="1"/>
  <c r="J174" i="6" s="1"/>
  <c r="J176" i="6" s="1"/>
  <c r="J178" i="6" s="1"/>
  <c r="H168" i="6"/>
  <c r="H169" i="6" s="1"/>
  <c r="H174" i="6" s="1"/>
  <c r="H176" i="6" s="1"/>
  <c r="E180" i="10"/>
  <c r="E181" i="10" s="1"/>
  <c r="E186" i="10" s="1"/>
  <c r="E188" i="10" s="1"/>
  <c r="E183" i="10"/>
  <c r="H171" i="8"/>
  <c r="N164" i="8" s="1"/>
  <c r="J174" i="8" s="1"/>
  <c r="J176" i="8" s="1"/>
  <c r="J178" i="8" s="1"/>
  <c r="H168" i="8"/>
  <c r="H169" i="8" s="1"/>
  <c r="H174" i="8" s="1"/>
  <c r="H176" i="8" s="1"/>
  <c r="N108" i="8"/>
  <c r="I170" i="8" s="1"/>
  <c r="N71" i="8"/>
  <c r="N72" i="8" s="1"/>
  <c r="N141" i="6"/>
  <c r="N69" i="6" s="1"/>
  <c r="J93" i="10" l="1"/>
  <c r="I112" i="9"/>
  <c r="I120" i="9" s="1"/>
  <c r="I122" i="9" s="1"/>
  <c r="J94" i="10"/>
  <c r="N142" i="6"/>
  <c r="N85" i="6" s="1"/>
  <c r="K112" i="10"/>
  <c r="L109" i="10" s="1"/>
  <c r="I71" i="10"/>
  <c r="I3" i="10" s="1"/>
  <c r="E190" i="10"/>
  <c r="H178" i="8"/>
  <c r="N108" i="6"/>
  <c r="I170" i="6" s="1"/>
  <c r="N71" i="6"/>
  <c r="N72" i="6" s="1"/>
  <c r="N141" i="10"/>
  <c r="M63" i="10"/>
  <c r="M64" i="10" s="1"/>
  <c r="M98" i="8"/>
  <c r="M99" i="8" s="1"/>
  <c r="N124" i="6"/>
  <c r="M81" i="6"/>
  <c r="M84" i="6" s="1"/>
  <c r="M87" i="6" s="1"/>
  <c r="N74" i="8"/>
  <c r="N75" i="8"/>
  <c r="N107" i="8" s="1"/>
  <c r="N110" i="8" s="1"/>
  <c r="N123" i="8" s="1"/>
  <c r="N125" i="8" s="1"/>
  <c r="N81" i="8" s="1"/>
  <c r="N84" i="8" s="1"/>
  <c r="N87" i="8" s="1"/>
  <c r="I167" i="8"/>
  <c r="H178" i="6"/>
  <c r="K78" i="10"/>
  <c r="F182" i="10" s="1"/>
  <c r="K41" i="10"/>
  <c r="K42" i="10" s="1"/>
  <c r="N124" i="8"/>
  <c r="M81" i="8"/>
  <c r="M84" i="8" s="1"/>
  <c r="M87" i="8" s="1"/>
  <c r="N132" i="10"/>
  <c r="N142" i="10" s="1"/>
  <c r="N88" i="10" s="1"/>
  <c r="N91" i="10" s="1"/>
  <c r="N158" i="10"/>
  <c r="N160" i="10" s="1"/>
  <c r="N40" i="10" s="1"/>
  <c r="J68" i="10"/>
  <c r="J69" i="10" s="1"/>
  <c r="M98" i="6"/>
  <c r="M99" i="6" s="1"/>
  <c r="J95" i="10" l="1"/>
  <c r="J51" i="10" s="1"/>
  <c r="J54" i="10" s="1"/>
  <c r="J57" i="10" s="1"/>
  <c r="J71" i="10" s="1"/>
  <c r="J3" i="10" s="1"/>
  <c r="M101" i="6"/>
  <c r="M3" i="6" s="1"/>
  <c r="K55" i="10"/>
  <c r="N133" i="10"/>
  <c r="M101" i="8"/>
  <c r="M3" i="8" s="1"/>
  <c r="F179" i="10"/>
  <c r="K44" i="10"/>
  <c r="K45" i="10" s="1"/>
  <c r="J97" i="9" s="1"/>
  <c r="J105" i="9" s="1"/>
  <c r="J107" i="9" s="1"/>
  <c r="I140" i="9" s="1"/>
  <c r="I168" i="8"/>
  <c r="I169" i="8" s="1"/>
  <c r="I174" i="8" s="1"/>
  <c r="I176" i="8" s="1"/>
  <c r="I171" i="8"/>
  <c r="N97" i="8"/>
  <c r="N98" i="8" s="1"/>
  <c r="N99" i="8" s="1"/>
  <c r="N101" i="8" s="1"/>
  <c r="N3" i="8" s="1"/>
  <c r="L111" i="10"/>
  <c r="L39" i="10" s="1"/>
  <c r="I167" i="6"/>
  <c r="N74" i="6"/>
  <c r="N75" i="6" s="1"/>
  <c r="N143" i="10"/>
  <c r="N63" i="10" s="1"/>
  <c r="N64" i="10" s="1"/>
  <c r="K94" i="10" l="1"/>
  <c r="L112" i="10"/>
  <c r="L55" i="10" s="1"/>
  <c r="I178" i="8"/>
  <c r="L181" i="8" s="1"/>
  <c r="C181" i="8"/>
  <c r="C184" i="8" s="1"/>
  <c r="C186" i="8" s="1"/>
  <c r="K77" i="10"/>
  <c r="K80" i="10" s="1"/>
  <c r="K67" i="10"/>
  <c r="N107" i="6"/>
  <c r="N110" i="6" s="1"/>
  <c r="N123" i="6" s="1"/>
  <c r="N125" i="6" s="1"/>
  <c r="N81" i="6" s="1"/>
  <c r="N84" i="6" s="1"/>
  <c r="N87" i="6" s="1"/>
  <c r="N97" i="6"/>
  <c r="N98" i="6" s="1"/>
  <c r="N99" i="6" s="1"/>
  <c r="I171" i="6"/>
  <c r="I168" i="6"/>
  <c r="I169" i="6" s="1"/>
  <c r="I174" i="6" s="1"/>
  <c r="I176" i="6" s="1"/>
  <c r="L78" i="10"/>
  <c r="G182" i="10" s="1"/>
  <c r="L41" i="10"/>
  <c r="L42" i="10" s="1"/>
  <c r="F183" i="10"/>
  <c r="F180" i="10"/>
  <c r="F181" i="10" s="1"/>
  <c r="F186" i="10" s="1"/>
  <c r="F188" i="10" s="1"/>
  <c r="M109" i="10"/>
  <c r="K93" i="10" l="1"/>
  <c r="K95" i="10" s="1"/>
  <c r="K51" i="10" s="1"/>
  <c r="K54" i="10" s="1"/>
  <c r="K57" i="10" s="1"/>
  <c r="J112" i="9"/>
  <c r="J120" i="9" s="1"/>
  <c r="J122" i="9" s="1"/>
  <c r="F190" i="10"/>
  <c r="I178" i="6"/>
  <c r="L181" i="6" s="1"/>
  <c r="C181" i="6"/>
  <c r="C186" i="6" s="1"/>
  <c r="M111" i="10"/>
  <c r="M39" i="10" s="1"/>
  <c r="K68" i="10"/>
  <c r="K69" i="10" s="1"/>
  <c r="G179" i="10"/>
  <c r="L44" i="10"/>
  <c r="L45" i="10" s="1"/>
  <c r="K97" i="9" s="1"/>
  <c r="K105" i="9" s="1"/>
  <c r="K107" i="9" s="1"/>
  <c r="N101" i="6"/>
  <c r="N3" i="6" s="1"/>
  <c r="L94" i="10" l="1"/>
  <c r="K71" i="10"/>
  <c r="K3" i="10" s="1"/>
  <c r="L77" i="10"/>
  <c r="L80" i="10" s="1"/>
  <c r="L67" i="10"/>
  <c r="M112" i="10"/>
  <c r="G183" i="10"/>
  <c r="G180" i="10"/>
  <c r="G181" i="10" s="1"/>
  <c r="G186" i="10" s="1"/>
  <c r="G188" i="10" s="1"/>
  <c r="M78" i="10"/>
  <c r="H182" i="10" s="1"/>
  <c r="M41" i="10"/>
  <c r="M42" i="10" s="1"/>
  <c r="L93" i="10" l="1"/>
  <c r="L95" i="10" s="1"/>
  <c r="M94" i="10" s="1"/>
  <c r="K112" i="9"/>
  <c r="K120" i="9" s="1"/>
  <c r="K122" i="9" s="1"/>
  <c r="H179" i="10"/>
  <c r="M44" i="10"/>
  <c r="M45" i="10" s="1"/>
  <c r="L97" i="9" s="1"/>
  <c r="L105" i="9" s="1"/>
  <c r="L107" i="9" s="1"/>
  <c r="G190" i="10"/>
  <c r="M55" i="10"/>
  <c r="N109" i="10"/>
  <c r="L68" i="10"/>
  <c r="L69" i="10" s="1"/>
  <c r="L51" i="10" l="1"/>
  <c r="L54" i="10" s="1"/>
  <c r="L57" i="10" s="1"/>
  <c r="L71" i="10" s="1"/>
  <c r="L3" i="10" s="1"/>
  <c r="M77" i="10"/>
  <c r="M80" i="10" s="1"/>
  <c r="M67" i="10"/>
  <c r="N111" i="10"/>
  <c r="N39" i="10" s="1"/>
  <c r="H183" i="10"/>
  <c r="N176" i="10" s="1"/>
  <c r="J186" i="10" s="1"/>
  <c r="J188" i="10" s="1"/>
  <c r="J190" i="10" s="1"/>
  <c r="H180" i="10"/>
  <c r="H181" i="10" s="1"/>
  <c r="H186" i="10" s="1"/>
  <c r="H188" i="10" s="1"/>
  <c r="M93" i="10" l="1"/>
  <c r="M95" i="10" s="1"/>
  <c r="M51" i="10" s="1"/>
  <c r="M54" i="10" s="1"/>
  <c r="M57" i="10" s="1"/>
  <c r="L112" i="9"/>
  <c r="L120" i="9" s="1"/>
  <c r="L122" i="9" s="1"/>
  <c r="N112" i="10"/>
  <c r="N55" i="10" s="1"/>
  <c r="H190" i="10"/>
  <c r="M68" i="10"/>
  <c r="M69" i="10" s="1"/>
  <c r="N78" i="10"/>
  <c r="I182" i="10" s="1"/>
  <c r="N41" i="10"/>
  <c r="N42" i="10" s="1"/>
  <c r="N94" i="10" l="1"/>
  <c r="M71" i="10"/>
  <c r="M3" i="10" s="1"/>
  <c r="I179" i="10"/>
  <c r="N44" i="10"/>
  <c r="N45" i="10" s="1"/>
  <c r="M97" i="9" s="1"/>
  <c r="M105" i="9" s="1"/>
  <c r="M107" i="9" s="1"/>
  <c r="I180" i="10" l="1"/>
  <c r="I181" i="10" s="1"/>
  <c r="I186" i="10" s="1"/>
  <c r="I188" i="10" s="1"/>
  <c r="I183" i="10"/>
  <c r="N77" i="10"/>
  <c r="N80" i="10" s="1"/>
  <c r="N67" i="10"/>
  <c r="N68" i="10" s="1"/>
  <c r="N69" i="10" s="1"/>
  <c r="N93" i="10" l="1"/>
  <c r="N95" i="10" s="1"/>
  <c r="N51" i="10" s="1"/>
  <c r="N54" i="10" s="1"/>
  <c r="N57" i="10" s="1"/>
  <c r="N71" i="10" s="1"/>
  <c r="N3" i="10" s="1"/>
  <c r="M112" i="9"/>
  <c r="M120" i="9" s="1"/>
  <c r="M122" i="9" s="1"/>
  <c r="I190" i="10"/>
  <c r="C193" i="10"/>
  <c r="C196" i="10" l="1"/>
  <c r="C190" i="10"/>
  <c r="L193" i="10" s="1"/>
  <c r="C198" i="10" l="1"/>
  <c r="F132" i="9" s="1"/>
  <c r="F133" i="9" s="1"/>
  <c r="F134" i="9" s="1"/>
  <c r="B140" i="9" s="1"/>
  <c r="L129" i="9"/>
  <c r="L135" i="9" s="1"/>
  <c r="M135" i="9" s="1"/>
  <c r="M129" i="9" l="1"/>
  <c r="L132" i="9"/>
  <c r="M132" i="9" s="1"/>
</calcChain>
</file>

<file path=xl/sharedStrings.xml><?xml version="1.0" encoding="utf-8"?>
<sst xmlns="http://schemas.openxmlformats.org/spreadsheetml/2006/main" count="684" uniqueCount="269">
  <si>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</si>
  <si>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</si>
  <si>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</si>
  <si>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</si>
  <si>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</si>
  <si>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</si>
  <si>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</si>
  <si>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</si>
  <si>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</si>
  <si>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</si>
  <si>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</si>
  <si>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</si>
  <si>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</si>
  <si>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</si>
  <si>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</si>
  <si>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</si>
  <si>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</si>
  <si>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</si>
  <si>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</si>
  <si>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</si>
  <si>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</si>
  <si>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</si>
  <si>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</si>
  <si>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</si>
  <si>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</si>
  <si>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</si>
  <si>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</si>
  <si>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</si>
  <si>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</si>
  <si>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</si>
  <si>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</si>
  <si>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</si>
  <si>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</si>
  <si>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</si>
  <si>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</si>
  <si>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</si>
  <si>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</si>
  <si>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</si>
  <si>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</si>
  <si>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</si>
  <si>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</si>
  <si>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</si>
  <si>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</si>
  <si>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</si>
  <si>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</si>
  <si>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</si>
  <si>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</si>
  <si>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</si>
  <si>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</si>
  <si>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</si>
  <si>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</si>
  <si>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</si>
  <si>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</si>
  <si>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</si>
  <si>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</si>
  <si>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</si>
  <si>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</si>
  <si>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</si>
  <si>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</si>
  <si>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</si>
  <si>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</si>
  <si>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</si>
  <si>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</si>
  <si>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</si>
  <si>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</si>
  <si>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</si>
  <si>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</si>
  <si>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</si>
  <si>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</si>
  <si>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</si>
  <si>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</si>
  <si>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</si>
  <si>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</si>
  <si>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</si>
  <si>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</si>
  <si>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</si>
  <si>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</si>
  <si>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</si>
  <si>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</si>
  <si>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</si>
  <si>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</si>
  <si>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</si>
  <si>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</si>
  <si>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</si>
  <si>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</si>
  <si>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</si>
  <si>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</si>
  <si>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</si>
  <si>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</si>
  <si>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</si>
  <si>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</si>
  <si>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</si>
  <si>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</si>
  <si>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</si>
  <si>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</si>
  <si>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</si>
  <si>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</si>
  <si>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</si>
  <si>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</si>
  <si>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</si>
  <si>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</si>
  <si>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</si>
  <si>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</si>
  <si>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</si>
  <si>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</si>
  <si>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</si>
  <si>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</si>
  <si>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</si>
  <si>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</si>
  <si>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</si>
  <si>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</si>
  <si>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</si>
  <si>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</si>
  <si>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</si>
  <si>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</si>
  <si>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</si>
  <si>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</si>
  <si>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</si>
  <si>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</si>
  <si>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</si>
  <si>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</si>
  <si>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</si>
  <si>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</si>
  <si>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</si>
  <si>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</si>
  <si>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</si>
  <si>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</si>
  <si>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</si>
  <si>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</si>
  <si>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</si>
  <si>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</si>
  <si>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</si>
  <si>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</si>
  <si>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</si>
  <si>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</si>
  <si>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</si>
  <si>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</si>
  <si>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</si>
  <si>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</si>
  <si>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</si>
  <si>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</si>
  <si>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</si>
  <si>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</si>
  <si>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</si>
  <si>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</si>
  <si>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</si>
  <si>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</si>
  <si>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</si>
  <si>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</si>
  <si>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</si>
  <si>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</si>
  <si>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</si>
  <si>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</si>
  <si>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</si>
  <si>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</si>
  <si>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</si>
  <si>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</si>
  <si>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</si>
  <si>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</si>
  <si>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</si>
  <si>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</si>
  <si>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</si>
  <si>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</si>
  <si>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</si>
  <si>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</si>
  <si>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</si>
  <si>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</si>
  <si>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</si>
  <si>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</si>
  <si>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</si>
  <si>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</si>
  <si>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</si>
  <si>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</si>
  <si>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</si>
  <si>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</si>
  <si>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</si>
  <si>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</si>
  <si>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</si>
  <si>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</si>
  <si>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</si>
  <si>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</si>
  <si>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</si>
  <si>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</si>
  <si>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</si>
  <si>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</si>
  <si>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</si>
  <si>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</si>
  <si>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</si>
  <si>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</si>
  <si>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</si>
  <si>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Pro Forma Shares Outstanding</t>
  </si>
  <si>
    <t>Shares Issued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</si>
  <si>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</si>
  <si>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</si>
  <si>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</si>
  <si>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</si>
  <si>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</si>
  <si>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</si>
  <si>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</si>
  <si>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</si>
  <si>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</si>
  <si>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</si>
  <si>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</si>
  <si>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</si>
  <si>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</si>
  <si>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</si>
  <si>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</si>
  <si>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</si>
  <si>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Dividends Paid</t>
  </si>
  <si>
    <t>Payment of Dividends</t>
  </si>
  <si>
    <t>Target Shares Outstanding</t>
  </si>
  <si>
    <t>Takeover</t>
  </si>
  <si>
    <t>IRR (Current Share Price)</t>
  </si>
  <si>
    <t>Stub</t>
  </si>
  <si>
    <t>$ 000s</t>
  </si>
  <si>
    <t>USD</t>
  </si>
  <si>
    <t>Share Issuance Price</t>
  </si>
  <si>
    <t>Yes</t>
  </si>
  <si>
    <t>No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</si>
  <si>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</si>
  <si>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</si>
  <si>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</si>
  <si>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</si>
  <si>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</si>
  <si>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</si>
  <si>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</si>
  <si>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</si>
  <si>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Fees</t>
  </si>
  <si>
    <t>Re-fi Debt</t>
  </si>
  <si>
    <t>Interest Expense (opening balance)</t>
  </si>
  <si>
    <t>na</t>
  </si>
  <si>
    <t>Perpetual Growth Rate</t>
  </si>
  <si>
    <t>EV/EBITDA Multiple</t>
  </si>
  <si>
    <t>Synergies in Year 1 (full yr.)</t>
  </si>
  <si>
    <t>Pro Forma Consolidated Balance Sheet</t>
  </si>
  <si>
    <t>Company X</t>
  </si>
  <si>
    <t>Company Y</t>
  </si>
  <si>
    <t>Accretion/Dilution Analysis</t>
  </si>
  <si>
    <t>Earnings Per Share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</si>
  <si>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</si>
  <si>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</si>
  <si>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</si>
  <si>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</si>
  <si>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</si>
  <si>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</si>
  <si>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Acquirer EPS</t>
  </si>
  <si>
    <t>Target EPS</t>
  </si>
  <si>
    <t>Pro Forma EPS</t>
  </si>
  <si>
    <t>Accretion/Dilution</t>
  </si>
  <si>
    <t>Cash Flow Per Share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</si>
  <si>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</si>
  <si>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</si>
  <si>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</si>
  <si>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</si>
  <si>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</si>
  <si>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</si>
  <si>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Summary &amp; Sensitivity</t>
  </si>
  <si>
    <t>Share Price Impact</t>
  </si>
  <si>
    <t>Capital Structure</t>
  </si>
  <si>
    <t>Market Price</t>
  </si>
  <si>
    <t>Current</t>
  </si>
  <si>
    <t>Pro Forma</t>
  </si>
  <si>
    <t>Change</t>
  </si>
  <si>
    <t>Target Price per Share</t>
  </si>
  <si>
    <t>Equity</t>
  </si>
  <si>
    <t>Acquirer Price per Share</t>
  </si>
  <si>
    <t>Debt</t>
  </si>
  <si>
    <t>Pro Forma Price per Share</t>
  </si>
  <si>
    <t>Change in Acquirer NPV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</si>
</sst>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43" formatCode="_(* #,##0.00_);_(* \(#,##0.00\);_(* &quot;-&quot;??_);_(@_)"/>
    <numFmt numFmtId="164" formatCode="0.0\x"/>
    <numFmt numFmtId="165" formatCode="_-* #,##0.00_-;\-* #,##0.00_-;_-* &quot;-&quot;??_-;_-@_-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_-* #,##0.000_-;\(#,##0.000\)_-;_-* &quot;-&quot;_-;_-@_-"/>
    <numFmt numFmtId="173" formatCode="0.000"/>
  </numFmts>
  <fonts count="65">
    <font>
      <sz val="10"/>
      <name val="Arial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b/>
      <u val="singleAccounting"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00B05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3">
    <xf numFmtId="0" fontId="0" fillId="0" borderId="0"/>
    <xf numFmtId="0" fontId="2" fillId="0" borderId="0" applyAlignment="0"/>
    <xf numFmtId="0" fontId="3" fillId="0" borderId="0" applyAlignment="0"/>
    <xf numFmtId="0" fontId="4" fillId="2" borderId="0" applyAlignment="0"/>
    <xf numFmtId="0" fontId="5" fillId="3" borderId="0" applyAlignment="0"/>
    <xf numFmtId="0" fontId="6" fillId="4" borderId="0" applyAlignment="0"/>
    <xf numFmtId="0" fontId="7" fillId="5" borderId="0" applyAlignment="0"/>
    <xf numFmtId="0" fontId="8" fillId="0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1" fillId="0" borderId="0" applyAlignment="0">
      <alignment wrapText="1"/>
    </xf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7" fillId="0" borderId="0" applyFont="0" applyFill="0" applyBorder="0" applyAlignment="0" applyProtection="0"/>
  </cellStyleXfs>
  <cellXfs count="338">
    <xf numFmtId="0" fontId="0" fillId="0" borderId="0" xfId="0" applyFont="1"/>
    <xf numFmtId="166" fontId="20" fillId="7" borderId="0" xfId="19" applyNumberFormat="1" applyFont="1" applyFill="1" applyProtection="1">
      <protection locked="0"/>
    </xf>
    <xf numFmtId="166" fontId="18" fillId="7" borderId="0" xfId="19" applyNumberFormat="1" applyFont="1" applyFill="1" applyProtection="1">
      <protection locked="0"/>
    </xf>
    <xf numFmtId="166" fontId="18" fillId="7" borderId="0" xfId="19" applyNumberFormat="1" applyFont="1" applyFill="1" applyAlignment="1" applyProtection="1">
      <alignment horizontal="center"/>
      <protection locked="0"/>
    </xf>
    <xf numFmtId="166" fontId="21" fillId="8" borderId="0" xfId="19" applyNumberFormat="1" applyFont="1" applyFill="1" applyAlignment="1" applyProtection="1">
      <alignment horizontal="centerContinuous"/>
      <protection locked="0"/>
    </xf>
    <xf numFmtId="166" fontId="22" fillId="8" borderId="0" xfId="19" applyNumberFormat="1" applyFont="1" applyFill="1" applyAlignment="1" applyProtection="1">
      <alignment horizontal="centerContinuous"/>
      <protection locked="0"/>
    </xf>
    <xf numFmtId="166" fontId="21" fillId="7" borderId="0" xfId="19" applyNumberFormat="1" applyFont="1" applyFill="1" applyAlignment="1" applyProtection="1">
      <alignment horizontal="centerContinuous"/>
      <protection locked="0"/>
    </xf>
    <xf numFmtId="166" fontId="22" fillId="7" borderId="0" xfId="19" applyNumberFormat="1" applyFont="1" applyFill="1" applyAlignment="1" applyProtection="1">
      <alignment horizontal="centerContinuous"/>
      <protection locked="0"/>
    </xf>
    <xf numFmtId="166" fontId="18" fillId="0" borderId="0" xfId="19" applyNumberFormat="1" applyFont="1" applyProtection="1">
      <protection locked="0"/>
    </xf>
    <xf numFmtId="166" fontId="23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alignment horizontal="center"/>
      <protection locked="0"/>
    </xf>
    <xf numFmtId="0" fontId="24" fillId="8" borderId="0" xfId="19" applyNumberFormat="1" applyFont="1" applyFill="1" applyAlignment="1" applyProtection="1">
      <protection locked="0"/>
    </xf>
    <xf numFmtId="0" fontId="24" fillId="7" borderId="0" xfId="19" applyNumberFormat="1" applyFont="1" applyFill="1" applyAlignment="1" applyProtection="1">
      <protection locked="0"/>
    </xf>
    <xf numFmtId="166" fontId="18" fillId="0" borderId="0" xfId="19" applyNumberFormat="1" applyFont="1" applyAlignment="1" applyProtection="1">
      <alignment horizontal="center"/>
      <protection locked="0"/>
    </xf>
    <xf numFmtId="166" fontId="25" fillId="0" borderId="0" xfId="19" applyNumberFormat="1" applyFont="1" applyAlignment="1" applyProtection="1">
      <alignment horizontal="right"/>
      <protection locked="0"/>
    </xf>
    <xf numFmtId="166" fontId="23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Alignment="1" applyProtection="1">
      <alignment horizontal="center"/>
      <protection locked="0"/>
    </xf>
    <xf numFmtId="166" fontId="26" fillId="0" borderId="0" xfId="19" applyNumberFormat="1" applyFont="1" applyFill="1" applyProtection="1">
      <protection locked="0"/>
    </xf>
    <xf numFmtId="166" fontId="19" fillId="0" borderId="0" xfId="19" applyNumberFormat="1" applyFont="1" applyFill="1" applyProtection="1">
      <protection locked="0"/>
    </xf>
    <xf numFmtId="166" fontId="27" fillId="0" borderId="0" xfId="19" applyNumberFormat="1" applyFont="1" applyProtection="1">
      <protection locked="0"/>
    </xf>
    <xf numFmtId="166" fontId="18" fillId="0" borderId="0" xfId="19" applyNumberFormat="1" applyFont="1" applyFill="1" applyBorder="1" applyProtection="1">
      <protection locked="0"/>
    </xf>
    <xf numFmtId="166" fontId="18" fillId="0" borderId="0" xfId="19" applyNumberFormat="1" applyFont="1" applyFill="1" applyBorder="1" applyAlignment="1" applyProtection="1">
      <alignment horizontal="center"/>
      <protection locked="0"/>
    </xf>
    <xf numFmtId="9" fontId="27" fillId="0" borderId="0" xfId="20" applyFont="1" applyFill="1" applyBorder="1" applyProtection="1">
      <protection locked="0"/>
    </xf>
    <xf numFmtId="10" fontId="18" fillId="0" borderId="0" xfId="20" applyNumberFormat="1" applyFont="1" applyFill="1" applyBorder="1" applyProtection="1">
      <protection locked="0"/>
    </xf>
    <xf numFmtId="166" fontId="18" fillId="0" borderId="1" xfId="19" applyNumberFormat="1" applyFont="1" applyBorder="1" applyProtection="1">
      <protection locked="0"/>
    </xf>
    <xf numFmtId="166" fontId="27" fillId="0" borderId="1" xfId="19" applyNumberFormat="1" applyFont="1" applyBorder="1" applyProtection="1">
      <protection locked="0"/>
    </xf>
    <xf numFmtId="166" fontId="27" fillId="0" borderId="1" xfId="19" applyNumberFormat="1" applyFont="1" applyBorder="1" applyAlignment="1" applyProtection="1">
      <alignment horizontal="center"/>
      <protection locked="0"/>
    </xf>
    <xf numFmtId="166" fontId="28" fillId="0" borderId="1" xfId="19" applyNumberFormat="1" applyFont="1" applyFill="1" applyBorder="1" applyProtection="1">
      <protection locked="0"/>
    </xf>
    <xf numFmtId="169" fontId="26" fillId="0" borderId="1" xfId="20" applyNumberFormat="1" applyFont="1" applyFill="1" applyBorder="1" applyProtection="1">
      <protection locked="0"/>
    </xf>
    <xf numFmtId="169" fontId="19" fillId="0" borderId="1" xfId="20" applyNumberFormat="1" applyFont="1" applyFill="1" applyBorder="1" applyProtection="1">
      <protection locked="0"/>
    </xf>
    <xf numFmtId="166" fontId="18" fillId="0" borderId="0" xfId="19" applyNumberFormat="1" applyFont="1" applyBorder="1" applyProtection="1">
      <protection locked="0"/>
    </xf>
    <xf numFmtId="166" fontId="18" fillId="0" borderId="0" xfId="19" applyNumberFormat="1" applyFont="1" applyBorder="1" applyAlignment="1" applyProtection="1">
      <alignment horizontal="center"/>
      <protection locked="0"/>
    </xf>
    <xf numFmtId="169" fontId="26" fillId="0" borderId="0" xfId="20" applyNumberFormat="1" applyFont="1" applyFill="1" applyBorder="1" applyProtection="1">
      <protection locked="0"/>
    </xf>
    <xf numFmtId="169" fontId="19" fillId="0" borderId="0" xfId="20" applyNumberFormat="1" applyFont="1" applyFill="1" applyBorder="1" applyProtection="1">
      <protection locked="0"/>
    </xf>
    <xf numFmtId="166" fontId="26" fillId="0" borderId="0" xfId="19" applyNumberFormat="1" applyFont="1" applyFill="1" applyBorder="1" applyProtection="1">
      <protection locked="0"/>
    </xf>
    <xf numFmtId="166" fontId="19" fillId="0" borderId="0" xfId="19" applyNumberFormat="1" applyFont="1" applyFill="1" applyBorder="1" applyProtection="1">
      <protection locked="0"/>
    </xf>
    <xf numFmtId="166" fontId="25" fillId="0" borderId="0" xfId="19" applyNumberFormat="1" applyFont="1" applyBorder="1" applyProtection="1">
      <protection locked="0"/>
    </xf>
    <xf numFmtId="166" fontId="25" fillId="0" borderId="0" xfId="19" applyNumberFormat="1" applyFont="1" applyBorder="1" applyAlignment="1" applyProtection="1">
      <alignment horizontal="center"/>
      <protection locked="0"/>
    </xf>
    <xf numFmtId="9" fontId="19" fillId="0" borderId="0" xfId="20" applyFont="1" applyFill="1" applyAlignment="1" applyProtection="1">
      <alignment horizontal="center"/>
      <protection locked="0"/>
    </xf>
    <xf numFmtId="166" fontId="27" fillId="0" borderId="0" xfId="19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center"/>
      <protection locked="0"/>
    </xf>
    <xf numFmtId="166" fontId="29" fillId="0" borderId="0" xfId="19" applyNumberFormat="1" applyFont="1" applyBorder="1" applyProtection="1">
      <protection locked="0"/>
    </xf>
    <xf numFmtId="166" fontId="28" fillId="0" borderId="0" xfId="19" applyNumberFormat="1" applyFont="1" applyBorder="1" applyProtection="1">
      <protection locked="0"/>
    </xf>
    <xf numFmtId="166" fontId="27" fillId="0" borderId="0" xfId="19" applyNumberFormat="1" applyFont="1" applyAlignment="1" applyProtection="1">
      <alignment horizontal="center"/>
      <protection locked="0"/>
    </xf>
    <xf numFmtId="166" fontId="29" fillId="0" borderId="0" xfId="19" applyNumberFormat="1" applyFont="1" applyProtection="1">
      <protection locked="0"/>
    </xf>
    <xf numFmtId="166" fontId="27" fillId="0" borderId="0" xfId="19" applyNumberFormat="1" applyFont="1" applyFill="1" applyProtection="1">
      <protection locked="0"/>
    </xf>
    <xf numFmtId="166" fontId="19" fillId="0" borderId="0" xfId="19" applyNumberFormat="1" applyFont="1" applyBorder="1" applyProtection="1">
      <protection locked="0"/>
    </xf>
    <xf numFmtId="167" fontId="18" fillId="0" borderId="0" xfId="19" applyNumberFormat="1" applyFont="1" applyFill="1" applyBorder="1" applyProtection="1">
      <protection locked="0"/>
    </xf>
    <xf numFmtId="166" fontId="28" fillId="0" borderId="1" xfId="19" applyNumberFormat="1" applyFont="1" applyBorder="1" applyProtection="1">
      <protection locked="0"/>
    </xf>
    <xf numFmtId="9" fontId="29" fillId="0" borderId="0" xfId="20" applyFont="1" applyBorder="1" applyProtection="1">
      <protection locked="0"/>
    </xf>
    <xf numFmtId="166" fontId="19" fillId="0" borderId="0" xfId="19" applyNumberFormat="1" applyFont="1" applyProtection="1">
      <protection locked="0"/>
    </xf>
    <xf numFmtId="166" fontId="18" fillId="0" borderId="0" xfId="19" applyNumberFormat="1" applyFont="1" applyFill="1" applyProtection="1">
      <protection locked="0"/>
    </xf>
    <xf numFmtId="166" fontId="18" fillId="0" borderId="2" xfId="19" applyNumberFormat="1" applyFont="1" applyBorder="1" applyProtection="1">
      <protection locked="0"/>
    </xf>
    <xf numFmtId="166" fontId="18" fillId="0" borderId="2" xfId="19" applyNumberFormat="1" applyFont="1" applyBorder="1" applyAlignment="1" applyProtection="1">
      <alignment horizontal="center"/>
      <protection locked="0"/>
    </xf>
    <xf numFmtId="166" fontId="19" fillId="0" borderId="2" xfId="19" applyNumberFormat="1" applyFont="1" applyBorder="1" applyProtection="1">
      <protection locked="0"/>
    </xf>
    <xf numFmtId="166" fontId="26" fillId="0" borderId="2" xfId="19" applyNumberFormat="1" applyFont="1" applyBorder="1" applyProtection="1">
      <protection locked="0"/>
    </xf>
    <xf numFmtId="167" fontId="18" fillId="0" borderId="0" xfId="19" applyNumberFormat="1" applyFont="1" applyFill="1" applyProtection="1">
      <protection locked="0"/>
    </xf>
    <xf numFmtId="166" fontId="27" fillId="0" borderId="3" xfId="19" applyNumberFormat="1" applyFont="1" applyBorder="1" applyProtection="1">
      <protection locked="0"/>
    </xf>
    <xf numFmtId="166" fontId="27" fillId="0" borderId="3" xfId="19" applyNumberFormat="1" applyFont="1" applyBorder="1" applyAlignment="1" applyProtection="1">
      <alignment horizontal="center"/>
      <protection locked="0"/>
    </xf>
    <xf numFmtId="166" fontId="28" fillId="0" borderId="3" xfId="19" applyNumberFormat="1" applyFont="1" applyBorder="1" applyProtection="1">
      <protection locked="0"/>
    </xf>
    <xf numFmtId="0" fontId="1" fillId="0" borderId="0" xfId="21" applyProtection="1">
      <protection locked="0"/>
    </xf>
    <xf numFmtId="168" fontId="18" fillId="0" borderId="0" xfId="19" applyNumberFormat="1" applyFont="1" applyProtection="1">
      <protection locked="0"/>
    </xf>
    <xf numFmtId="166" fontId="27" fillId="0" borderId="4" xfId="19" applyNumberFormat="1" applyFont="1" applyBorder="1" applyProtection="1">
      <protection locked="0"/>
    </xf>
    <xf numFmtId="166" fontId="27" fillId="0" borderId="4" xfId="19" applyNumberFormat="1" applyFont="1" applyBorder="1" applyAlignment="1" applyProtection="1">
      <alignment horizontal="center"/>
      <protection locked="0"/>
    </xf>
    <xf numFmtId="166" fontId="28" fillId="0" borderId="4" xfId="19" applyNumberFormat="1" applyFont="1" applyBorder="1" applyProtection="1">
      <protection locked="0"/>
    </xf>
    <xf numFmtId="166" fontId="25" fillId="0" borderId="0" xfId="19" applyNumberFormat="1" applyFont="1" applyProtection="1">
      <protection locked="0"/>
    </xf>
    <xf numFmtId="170" fontId="25" fillId="0" borderId="0" xfId="19" applyNumberFormat="1" applyFont="1" applyProtection="1">
      <protection locked="0"/>
    </xf>
    <xf numFmtId="170" fontId="25" fillId="0" borderId="0" xfId="19" applyNumberFormat="1" applyFont="1" applyAlignment="1" applyProtection="1">
      <alignment horizontal="center"/>
      <protection locked="0"/>
    </xf>
    <xf numFmtId="166" fontId="18" fillId="0" borderId="1" xfId="19" applyNumberFormat="1" applyFont="1" applyBorder="1" applyAlignment="1" applyProtection="1">
      <alignment horizontal="center"/>
      <protection locked="0"/>
    </xf>
    <xf numFmtId="166" fontId="26" fillId="0" borderId="0" xfId="19" applyNumberFormat="1" applyFont="1" applyBorder="1" applyProtection="1">
      <protection locked="0"/>
    </xf>
    <xf numFmtId="166" fontId="18" fillId="0" borderId="0" xfId="19" applyNumberFormat="1" applyFont="1" applyProtection="1"/>
    <xf numFmtId="166" fontId="26" fillId="0" borderId="1" xfId="19" applyNumberFormat="1" applyFont="1" applyBorder="1" applyProtection="1">
      <protection locked="0"/>
    </xf>
    <xf numFmtId="166" fontId="26" fillId="0" borderId="1" xfId="19" applyNumberFormat="1" applyFont="1" applyBorder="1" applyProtection="1"/>
    <xf numFmtId="166" fontId="26" fillId="0" borderId="0" xfId="19" applyNumberFormat="1" applyFont="1" applyProtection="1">
      <protection locked="0"/>
    </xf>
    <xf numFmtId="167" fontId="18" fillId="0" borderId="0" xfId="19" applyNumberFormat="1" applyFont="1" applyProtection="1"/>
    <xf numFmtId="166" fontId="26" fillId="0" borderId="0" xfId="19" applyNumberFormat="1" applyFont="1" applyFill="1" applyProtection="1"/>
    <xf numFmtId="166" fontId="18" fillId="0" borderId="1" xfId="19" applyNumberFormat="1" applyFont="1" applyBorder="1" applyProtection="1"/>
    <xf numFmtId="166" fontId="28" fillId="0" borderId="0" xfId="19" applyNumberFormat="1" applyFont="1" applyProtection="1">
      <protection locked="0"/>
    </xf>
    <xf numFmtId="166" fontId="19" fillId="0" borderId="1" xfId="19" applyNumberFormat="1" applyFont="1" applyBorder="1" applyProtection="1">
      <protection locked="0"/>
    </xf>
    <xf numFmtId="9" fontId="19" fillId="0" borderId="1" xfId="20" applyFont="1" applyBorder="1" applyAlignment="1" applyProtection="1">
      <alignment horizontal="right"/>
      <protection locked="0"/>
    </xf>
    <xf numFmtId="9" fontId="19" fillId="0" borderId="0" xfId="20" applyFont="1" applyAlignment="1" applyProtection="1">
      <alignment horizontal="right"/>
      <protection locked="0"/>
    </xf>
    <xf numFmtId="164" fontId="19" fillId="0" borderId="0" xfId="19" applyNumberFormat="1" applyFont="1" applyAlignment="1" applyProtection="1">
      <alignment horizontal="right"/>
      <protection locked="0"/>
    </xf>
    <xf numFmtId="14" fontId="19" fillId="0" borderId="0" xfId="19" applyNumberFormat="1" applyFont="1" applyProtection="1">
      <protection locked="0"/>
    </xf>
    <xf numFmtId="168" fontId="19" fillId="0" borderId="0" xfId="19" applyNumberFormat="1" applyFont="1" applyAlignment="1" applyProtection="1">
      <alignment horizontal="right"/>
      <protection locked="0"/>
    </xf>
    <xf numFmtId="166" fontId="27" fillId="0" borderId="0" xfId="19" applyNumberFormat="1" applyFont="1" applyFill="1" applyAlignment="1" applyProtection="1">
      <alignment horizontal="right"/>
      <protection locked="0"/>
    </xf>
    <xf numFmtId="0" fontId="27" fillId="0" borderId="0" xfId="19" applyNumberFormat="1" applyFont="1" applyFill="1" applyAlignment="1" applyProtection="1">
      <alignment horizontal="right"/>
      <protection locked="0"/>
    </xf>
    <xf numFmtId="0" fontId="27" fillId="0" borderId="0" xfId="19" applyNumberFormat="1" applyFont="1" applyFill="1" applyProtection="1">
      <protection locked="0"/>
    </xf>
    <xf numFmtId="166" fontId="25" fillId="0" borderId="1" xfId="19" applyNumberFormat="1" applyFont="1" applyBorder="1" applyProtection="1">
      <protection locked="0"/>
    </xf>
    <xf numFmtId="14" fontId="25" fillId="0" borderId="1" xfId="19" applyNumberFormat="1" applyFont="1" applyBorder="1" applyProtection="1">
      <protection locked="0"/>
    </xf>
    <xf numFmtId="167" fontId="18" fillId="0" borderId="1" xfId="19" applyNumberFormat="1" applyFont="1" applyBorder="1" applyProtection="1">
      <protection locked="0"/>
    </xf>
    <xf numFmtId="171" fontId="25" fillId="0" borderId="0" xfId="19" applyNumberFormat="1" applyFont="1" applyProtection="1">
      <protection locked="0"/>
    </xf>
    <xf numFmtId="171" fontId="18" fillId="0" borderId="0" xfId="19" applyNumberFormat="1" applyFont="1" applyProtection="1">
      <protection locked="0"/>
    </xf>
    <xf numFmtId="167" fontId="18" fillId="0" borderId="0" xfId="19" applyNumberFormat="1" applyFont="1" applyProtection="1">
      <protection locked="0"/>
    </xf>
    <xf numFmtId="167" fontId="18" fillId="0" borderId="0" xfId="19" applyNumberFormat="1" applyFont="1" applyBorder="1" applyProtection="1">
      <protection locked="0"/>
    </xf>
    <xf numFmtId="166" fontId="27" fillId="0" borderId="1" xfId="19" applyNumberFormat="1" applyFont="1" applyFill="1" applyBorder="1" applyProtection="1">
      <protection locked="0"/>
    </xf>
    <xf numFmtId="9" fontId="18" fillId="0" borderId="0" xfId="20" applyFont="1" applyBorder="1" applyProtection="1">
      <protection locked="0"/>
    </xf>
    <xf numFmtId="43" fontId="18" fillId="0" borderId="0" xfId="19" applyFont="1" applyProtection="1">
      <protection locked="0"/>
    </xf>
    <xf numFmtId="171" fontId="27" fillId="9" borderId="0" xfId="19" applyNumberFormat="1" applyFont="1" applyFill="1" applyProtection="1">
      <protection locked="0"/>
    </xf>
    <xf numFmtId="171" fontId="27" fillId="0" borderId="0" xfId="19" applyNumberFormat="1" applyFont="1" applyProtection="1">
      <protection locked="0"/>
    </xf>
    <xf numFmtId="166" fontId="18" fillId="0" borderId="0" xfId="19" applyNumberFormat="1" applyFont="1" applyAlignment="1" applyProtection="1">
      <alignment horizontal="right"/>
      <protection locked="0"/>
    </xf>
    <xf numFmtId="166" fontId="19" fillId="0" borderId="0" xfId="19" applyNumberFormat="1" applyFont="1" applyAlignment="1" applyProtection="1">
      <alignment horizontal="right"/>
      <protection locked="0"/>
    </xf>
    <xf numFmtId="166" fontId="18" fillId="10" borderId="0" xfId="19" applyNumberFormat="1" applyFont="1" applyFill="1" applyProtection="1">
      <protection locked="0"/>
    </xf>
    <xf numFmtId="166" fontId="18" fillId="11" borderId="0" xfId="19" applyNumberFormat="1" applyFont="1" applyFill="1" applyProtection="1">
      <protection locked="0"/>
    </xf>
    <xf numFmtId="166" fontId="18" fillId="11" borderId="0" xfId="19" applyNumberFormat="1" applyFont="1" applyFill="1" applyAlignment="1" applyProtection="1">
      <alignment horizontal="center"/>
      <protection locked="0"/>
    </xf>
    <xf numFmtId="166" fontId="18" fillId="0" borderId="0" xfId="19" quotePrefix="1" applyNumberFormat="1" applyFont="1" applyProtection="1">
      <protection locked="0"/>
    </xf>
    <xf numFmtId="166" fontId="27" fillId="0" borderId="0" xfId="19" applyNumberFormat="1" applyFont="1" applyAlignment="1" applyProtection="1">
      <alignment horizontal="right"/>
      <protection locked="0"/>
    </xf>
    <xf numFmtId="169" fontId="18" fillId="0" borderId="0" xfId="22" applyNumberFormat="1" applyFont="1" applyProtection="1">
      <protection locked="0"/>
    </xf>
    <xf numFmtId="169" fontId="19" fillId="0" borderId="0" xfId="22" applyNumberFormat="1" applyFont="1" applyProtection="1">
      <protection locked="0"/>
    </xf>
    <xf numFmtId="166" fontId="27" fillId="11" borderId="0" xfId="19" applyNumberFormat="1" applyFont="1" applyFill="1" applyProtection="1">
      <protection locked="0"/>
    </xf>
    <xf numFmtId="7" fontId="18" fillId="0" borderId="0" xfId="19" applyNumberFormat="1" applyFont="1" applyProtection="1">
      <protection locked="0"/>
    </xf>
    <xf numFmtId="172" fontId="18" fillId="0" borderId="0" xfId="19" applyNumberFormat="1" applyFont="1" applyProtection="1">
      <protection locked="0"/>
    </xf>
    <xf numFmtId="7" fontId="18" fillId="0" borderId="1" xfId="19" applyNumberFormat="1" applyFont="1" applyBorder="1" applyProtection="1">
      <protection locked="0"/>
    </xf>
    <xf numFmtId="166" fontId="27" fillId="11" borderId="0" xfId="19" applyNumberFormat="1" applyFont="1" applyFill="1" applyAlignment="1" applyProtection="1">
      <alignment horizontal="center"/>
      <protection locked="0"/>
    </xf>
    <xf numFmtId="166" fontId="30" fillId="0" borderId="0" xfId="19" applyNumberFormat="1" applyFont="1" applyProtection="1">
      <protection locked="0"/>
    </xf>
    <xf numFmtId="0" fontId="1" fillId="0" borderId="1" xfId="21" applyBorder="1" applyProtection="1">
      <protection locked="0"/>
    </xf>
    <xf numFmtId="166" fontId="30" fillId="0" borderId="1" xfId="19" applyNumberFormat="1" applyFont="1" applyBorder="1" applyProtection="1">
      <protection locked="0"/>
    </xf>
    <xf numFmtId="166" fontId="31" fillId="0" borderId="0" xfId="19" applyNumberFormat="1" applyFont="1" applyProtection="1">
      <protection locked="0"/>
    </xf>
    <xf numFmtId="14" fontId="25" fillId="0" borderId="0" xfId="19" applyNumberFormat="1" applyFont="1" applyAlignment="1" applyProtection="1">
      <alignment horizontal="right"/>
      <protection locked="0"/>
    </xf>
    <xf numFmtId="14" fontId="32" fillId="0" borderId="0" xfId="19" applyNumberFormat="1" applyFont="1" applyAlignment="1" applyProtection="1">
      <alignment horizontal="right"/>
      <protection locked="0"/>
    </xf>
    <xf numFmtId="14" fontId="34" fillId="0" borderId="0" xfId="19" applyNumberFormat="1" applyFont="1" applyAlignment="1" applyProtection="1">
      <alignment horizontal="right"/>
      <protection locked="0"/>
    </xf>
    <xf numFmtId="172" fontId="25" fillId="0" borderId="0" xfId="19" applyNumberFormat="1" applyFont="1" applyAlignment="1" applyProtection="1">
      <alignment horizontal="right"/>
      <protection locked="0"/>
    </xf>
    <xf numFmtId="166" fontId="35" fillId="0" borderId="0" xfId="19" applyNumberFormat="1" applyFont="1" applyAlignment="1" applyProtection="1">
      <alignment horizontal="right"/>
      <protection locked="0"/>
    </xf>
    <xf numFmtId="166" fontId="35" fillId="0" borderId="0" xfId="19" applyNumberFormat="1" applyFont="1" applyProtection="1">
      <protection locked="0"/>
    </xf>
    <xf numFmtId="166" fontId="32" fillId="0" borderId="0" xfId="19" applyNumberFormat="1" applyFont="1" applyAlignment="1" applyProtection="1">
      <alignment horizontal="right"/>
      <protection locked="0"/>
    </xf>
    <xf numFmtId="172" fontId="32" fillId="0" borderId="0" xfId="19" applyNumberFormat="1" applyFont="1" applyAlignment="1" applyProtection="1">
      <alignment horizontal="right"/>
      <protection locked="0"/>
    </xf>
    <xf numFmtId="172" fontId="35" fillId="0" borderId="0" xfId="19" applyNumberFormat="1" applyFont="1" applyAlignment="1" applyProtection="1">
      <alignment horizontal="right"/>
      <protection locked="0"/>
    </xf>
    <xf numFmtId="172" fontId="33" fillId="0" borderId="0" xfId="19" applyNumberFormat="1" applyFont="1" applyAlignment="1" applyProtection="1">
      <alignment horizontal="right"/>
      <protection locked="0"/>
    </xf>
    <xf numFmtId="166" fontId="19" fillId="0" borderId="1" xfId="19" applyNumberFormat="1" applyFont="1" applyBorder="1" applyAlignment="1" applyProtection="1">
      <alignment horizontal="right"/>
      <protection locked="0"/>
    </xf>
    <xf numFmtId="166" fontId="29" fillId="11" borderId="5" xfId="19" applyNumberFormat="1" applyFont="1" applyFill="1" applyBorder="1" applyAlignment="1" applyProtection="1">
      <alignment horizontal="right"/>
      <protection locked="0"/>
    </xf>
    <xf numFmtId="166" fontId="37" fillId="0" borderId="0" xfId="19" applyNumberFormat="1" applyFont="1" applyProtection="1">
      <protection locked="0"/>
    </xf>
    <xf numFmtId="166" fontId="27" fillId="0" borderId="3" xfId="19" applyNumberFormat="1" applyFont="1" applyFill="1" applyBorder="1" applyProtection="1">
      <protection locked="0"/>
    </xf>
    <xf numFmtId="166" fontId="27" fillId="0" borderId="0" xfId="19" applyNumberFormat="1" applyFont="1" applyFill="1" applyBorder="1" applyProtection="1">
      <protection locked="0"/>
    </xf>
    <xf numFmtId="166" fontId="25" fillId="0" borderId="0" xfId="19" applyNumberFormat="1" applyFont="1" applyAlignment="1" applyProtection="1">
      <alignment horizontal="center"/>
      <protection locked="0"/>
    </xf>
    <xf numFmtId="173" fontId="25" fillId="0" borderId="0" xfId="19" applyNumberFormat="1" applyFont="1" applyProtection="1">
      <protection locked="0"/>
    </xf>
    <xf numFmtId="166" fontId="27" fillId="10" borderId="1" xfId="19" applyNumberFormat="1" applyFont="1" applyFill="1" applyBorder="1" applyProtection="1">
      <protection locked="0"/>
    </xf>
    <xf numFmtId="166" fontId="27" fillId="10" borderId="3" xfId="19" applyNumberFormat="1" applyFont="1" applyFill="1" applyBorder="1" applyProtection="1">
      <protection locked="0"/>
    </xf>
    <xf numFmtId="166" fontId="27" fillId="10" borderId="0" xfId="19" applyNumberFormat="1" applyFont="1" applyFill="1" applyBorder="1" applyProtection="1">
      <protection locked="0"/>
    </xf>
    <xf numFmtId="166" fontId="27" fillId="10" borderId="0" xfId="19" applyNumberFormat="1" applyFont="1" applyFill="1" applyProtection="1">
      <protection locked="0"/>
    </xf>
    <xf numFmtId="166" fontId="27" fillId="10" borderId="4" xfId="19" applyNumberFormat="1" applyFont="1" applyFill="1" applyBorder="1" applyProtection="1">
      <protection locked="0"/>
    </xf>
    <xf numFmtId="14" fontId="38" fillId="0" borderId="1" xfId="19" applyNumberFormat="1" applyFont="1" applyBorder="1" applyProtection="1">
      <protection locked="0"/>
    </xf>
    <xf numFmtId="14" fontId="39" fillId="0" borderId="1" xfId="19" applyNumberFormat="1" applyFont="1" applyBorder="1" applyProtection="1">
      <protection locked="0"/>
    </xf>
    <xf numFmtId="166" fontId="37" fillId="0" borderId="0" xfId="19" applyNumberFormat="1" applyFont="1" applyFill="1" applyProtection="1">
      <protection locked="0"/>
    </xf>
    <xf numFmtId="166" fontId="37" fillId="0" borderId="1" xfId="19" applyNumberFormat="1" applyFont="1" applyFill="1" applyBorder="1" applyProtection="1">
      <protection locked="0"/>
    </xf>
    <xf numFmtId="166" fontId="32" fillId="0" borderId="0" xfId="19" applyNumberFormat="1" applyFont="1" applyProtection="1">
      <protection locked="0"/>
    </xf>
    <xf numFmtId="166" fontId="36" fillId="12" borderId="0" xfId="19" applyNumberFormat="1" applyFont="1" applyFill="1" applyAlignment="1" applyProtection="1">
      <alignment horizontal="centerContinuous"/>
      <protection locked="0"/>
    </xf>
    <xf numFmtId="166" fontId="22" fillId="12" borderId="0" xfId="19" applyNumberFormat="1" applyFont="1" applyFill="1" applyAlignment="1" applyProtection="1">
      <alignment horizontal="centerContinuous"/>
      <protection locked="0"/>
    </xf>
    <xf numFmtId="14" fontId="21" fillId="12" borderId="0" xfId="19" applyNumberFormat="1" applyFont="1" applyFill="1" applyAlignment="1" applyProtection="1">
      <protection locked="0"/>
    </xf>
    <xf numFmtId="166" fontId="35" fillId="0" borderId="0" xfId="19" applyNumberFormat="1" applyFont="1" applyAlignment="1" applyProtection="1">
      <alignment horizontal="center"/>
      <protection locked="0"/>
    </xf>
    <xf numFmtId="166" fontId="33" fillId="0" borderId="0" xfId="19" applyNumberFormat="1" applyFont="1" applyAlignment="1" applyProtection="1">
      <alignment horizontal="right"/>
      <protection locked="0"/>
    </xf>
    <xf numFmtId="7" fontId="26" fillId="0" borderId="0" xfId="19" applyNumberFormat="1" applyFont="1" applyProtection="1">
      <protection locked="0"/>
    </xf>
    <xf numFmtId="166" fontId="41" fillId="0" borderId="1" xfId="19" applyNumberFormat="1" applyFont="1" applyBorder="1" applyAlignment="1" applyProtection="1">
      <alignment horizontal="right"/>
      <protection locked="0"/>
    </xf>
    <xf numFmtId="166" fontId="18" fillId="0" borderId="1" xfId="19" applyNumberFormat="1" applyFont="1" applyFill="1" applyBorder="1" applyProtection="1">
      <protection locked="0"/>
    </xf>
    <xf numFmtId="166" fontId="18" fillId="10" borderId="1" xfId="19" applyNumberFormat="1" applyFont="1" applyFill="1" applyBorder="1" applyAlignment="1" applyProtection="1">
      <alignment horizontal="right"/>
      <protection locked="0"/>
    </xf>
    <xf numFmtId="166" fontId="18" fillId="10" borderId="0" xfId="19" applyNumberFormat="1" applyFont="1" applyFill="1" applyAlignment="1" applyProtection="1">
      <alignment horizontal="right"/>
      <protection locked="0"/>
    </xf>
    <xf numFmtId="9" fontId="18" fillId="10" borderId="0" xfId="22" applyFont="1" applyFill="1" applyAlignment="1" applyProtection="1">
      <alignment horizontal="right"/>
      <protection locked="0"/>
    </xf>
    <xf numFmtId="166" fontId="18" fillId="10" borderId="1" xfId="19" applyNumberFormat="1" applyFont="1" applyFill="1" applyBorder="1" applyProtection="1">
      <protection locked="0"/>
    </xf>
    <xf numFmtId="10" fontId="18" fillId="10" borderId="0" xfId="22" applyNumberFormat="1" applyFont="1" applyFill="1" applyAlignment="1" applyProtection="1">
      <alignment horizontal="right"/>
      <protection locked="0"/>
    </xf>
    <xf numFmtId="169" fontId="18" fillId="10" borderId="1" xfId="22" applyNumberFormat="1" applyFont="1" applyFill="1" applyBorder="1" applyAlignment="1" applyProtection="1">
      <alignment horizontal="right"/>
      <protection locked="0"/>
    </xf>
    <xf numFmtId="169" fontId="18" fillId="10" borderId="0" xfId="22" applyNumberFormat="1" applyFont="1" applyFill="1" applyAlignment="1" applyProtection="1">
      <alignment horizontal="right"/>
      <protection locked="0"/>
    </xf>
    <xf numFmtId="14" fontId="34" fillId="0" borderId="1" xfId="19" applyNumberFormat="1" applyFont="1" applyBorder="1" applyProtection="1">
      <protection locked="0"/>
    </xf>
    <xf numFmtId="168" fontId="37" fillId="0" borderId="0" xfId="19" applyNumberFormat="1" applyFont="1" applyAlignment="1" applyProtection="1">
      <alignment horizontal="right"/>
      <protection locked="0"/>
    </xf>
    <xf numFmtId="7" fontId="37" fillId="0" borderId="0" xfId="19" applyNumberFormat="1" applyFont="1" applyAlignment="1" applyProtection="1">
      <alignment horizontal="right"/>
      <protection locked="0"/>
    </xf>
    <xf numFmtId="166" fontId="29" fillId="0" borderId="1" xfId="19" applyNumberFormat="1" applyFont="1" applyBorder="1" applyProtection="1">
      <protection locked="0"/>
    </xf>
    <xf numFmtId="166" fontId="42" fillId="7" borderId="0" xfId="19" applyNumberFormat="1" applyFont="1" applyFill="1" applyProtection="1">
      <protection locked="0"/>
    </xf>
    <xf numFmtId="166" fontId="43" fillId="7" borderId="0" xfId="19" applyNumberFormat="1" applyFont="1" applyFill="1" applyProtection="1">
      <protection locked="0"/>
    </xf>
    <xf numFmtId="166" fontId="43" fillId="7" borderId="0" xfId="19" applyNumberFormat="1" applyFont="1" applyFill="1" applyAlignment="1" applyProtection="1">
      <alignment horizontal="center"/>
      <protection locked="0"/>
    </xf>
    <xf numFmtId="166" fontId="44" fillId="8" borderId="0" xfId="19" applyNumberFormat="1" applyFont="1" applyFill="1" applyAlignment="1" applyProtection="1">
      <alignment horizontal="centerContinuous"/>
      <protection locked="0"/>
    </xf>
    <xf numFmtId="166" fontId="45" fillId="7" borderId="0" xfId="19" applyNumberFormat="1" applyFont="1" applyFill="1" applyAlignment="1" applyProtection="1">
      <alignment horizontal="centerContinuous"/>
      <protection locked="0"/>
    </xf>
    <xf numFmtId="166" fontId="44" fillId="7" borderId="0" xfId="19" applyNumberFormat="1" applyFont="1" applyFill="1" applyAlignment="1" applyProtection="1">
      <alignment horizontal="centerContinuous"/>
      <protection locked="0"/>
    </xf>
    <xf numFmtId="166" fontId="43" fillId="0" borderId="0" xfId="19" applyNumberFormat="1" applyFont="1" applyProtection="1">
      <protection locked="0"/>
    </xf>
    <xf numFmtId="166" fontId="46" fillId="7" borderId="0" xfId="19" applyNumberFormat="1" applyFont="1" applyFill="1" applyAlignment="1" applyProtection="1">
      <protection locked="0"/>
    </xf>
    <xf numFmtId="166" fontId="47" fillId="7" borderId="0" xfId="19" applyNumberFormat="1" applyFont="1" applyFill="1" applyAlignment="1" applyProtection="1">
      <protection locked="0"/>
    </xf>
    <xf numFmtId="166" fontId="47" fillId="7" borderId="0" xfId="19" applyNumberFormat="1" applyFont="1" applyFill="1" applyAlignment="1" applyProtection="1">
      <alignment horizontal="center"/>
      <protection locked="0"/>
    </xf>
    <xf numFmtId="0" fontId="47" fillId="8" borderId="0" xfId="19" applyNumberFormat="1" applyFont="1" applyFill="1" applyAlignment="1" applyProtection="1">
      <alignment horizontal="right"/>
      <protection locked="0"/>
    </xf>
    <xf numFmtId="0" fontId="47" fillId="7" borderId="0" xfId="19" applyNumberFormat="1" applyFont="1" applyFill="1" applyAlignment="1" applyProtection="1">
      <protection locked="0"/>
    </xf>
    <xf numFmtId="166" fontId="48" fillId="0" borderId="0" xfId="19" applyNumberFormat="1" applyFont="1" applyProtection="1">
      <protection locked="0"/>
    </xf>
    <xf numFmtId="166" fontId="48" fillId="0" borderId="0" xfId="19" applyNumberFormat="1" applyFont="1" applyAlignment="1" applyProtection="1">
      <alignment horizontal="center"/>
      <protection locked="0"/>
    </xf>
    <xf numFmtId="166" fontId="48" fillId="0" borderId="0" xfId="19" applyNumberFormat="1" applyFont="1" applyAlignment="1" applyProtection="1">
      <alignment horizontal="right"/>
      <protection locked="0"/>
    </xf>
    <xf numFmtId="166" fontId="49" fillId="0" borderId="0" xfId="19" applyNumberFormat="1" applyFont="1" applyAlignment="1" applyProtection="1">
      <alignment horizontal="right"/>
      <protection locked="0"/>
    </xf>
    <xf numFmtId="166" fontId="50" fillId="0" borderId="0" xfId="19" applyNumberFormat="1" applyFont="1" applyProtection="1">
      <protection locked="0"/>
    </xf>
    <xf numFmtId="166" fontId="43" fillId="0" borderId="0" xfId="19" applyNumberFormat="1" applyFont="1" applyAlignment="1" applyProtection="1">
      <alignment horizontal="center"/>
      <protection locked="0"/>
    </xf>
    <xf numFmtId="14" fontId="51" fillId="0" borderId="0" xfId="19" applyNumberFormat="1" applyFont="1" applyAlignment="1" applyProtection="1">
      <alignment horizontal="right"/>
      <protection locked="0"/>
    </xf>
    <xf numFmtId="14" fontId="48" fillId="0" borderId="0" xfId="19" applyNumberFormat="1" applyFont="1" applyAlignment="1" applyProtection="1">
      <alignment horizontal="right"/>
      <protection locked="0"/>
    </xf>
    <xf numFmtId="166" fontId="51" fillId="0" borderId="0" xfId="19" applyNumberFormat="1" applyFont="1" applyAlignment="1" applyProtection="1">
      <alignment horizontal="right"/>
      <protection locked="0"/>
    </xf>
    <xf numFmtId="166" fontId="50" fillId="0" borderId="0" xfId="19" applyNumberFormat="1" applyFont="1" applyAlignment="1" applyProtection="1">
      <alignment horizontal="right"/>
      <protection locked="0"/>
    </xf>
    <xf numFmtId="172" fontId="51" fillId="0" borderId="0" xfId="19" applyNumberFormat="1" applyFont="1" applyAlignment="1" applyProtection="1">
      <alignment horizontal="right"/>
      <protection locked="0"/>
    </xf>
    <xf numFmtId="172" fontId="50" fillId="0" borderId="0" xfId="19" applyNumberFormat="1" applyFont="1" applyAlignment="1" applyProtection="1">
      <alignment horizontal="right"/>
      <protection locked="0"/>
    </xf>
    <xf numFmtId="166" fontId="46" fillId="6" borderId="0" xfId="19" applyNumberFormat="1" applyFont="1" applyFill="1" applyBorder="1" applyProtection="1">
      <protection locked="0"/>
    </xf>
    <xf numFmtId="166" fontId="52" fillId="6" borderId="0" xfId="19" applyNumberFormat="1" applyFont="1" applyFill="1" applyBorder="1" applyProtection="1">
      <protection locked="0"/>
    </xf>
    <xf numFmtId="166" fontId="52" fillId="6" borderId="0" xfId="19" applyNumberFormat="1" applyFont="1" applyFill="1" applyBorder="1" applyAlignment="1" applyProtection="1">
      <alignment horizontal="center"/>
      <protection locked="0"/>
    </xf>
    <xf numFmtId="166" fontId="52" fillId="0" borderId="0" xfId="19" applyNumberFormat="1" applyFont="1" applyFill="1" applyProtection="1">
      <protection locked="0"/>
    </xf>
    <xf numFmtId="166" fontId="53" fillId="0" borderId="0" xfId="19" applyNumberFormat="1" applyFont="1" applyFill="1" applyProtection="1">
      <protection locked="0"/>
    </xf>
    <xf numFmtId="166" fontId="53" fillId="0" borderId="0" xfId="19" applyNumberFormat="1" applyFont="1" applyProtection="1">
      <protection locked="0"/>
    </xf>
    <xf numFmtId="166" fontId="53" fillId="0" borderId="0" xfId="19" applyNumberFormat="1" applyFont="1" applyAlignment="1" applyProtection="1">
      <alignment horizontal="center"/>
      <protection locked="0"/>
    </xf>
    <xf numFmtId="166" fontId="53" fillId="0" borderId="1" xfId="19" applyNumberFormat="1" applyFont="1" applyBorder="1" applyProtection="1">
      <protection locked="0"/>
    </xf>
    <xf numFmtId="166" fontId="53" fillId="0" borderId="0" xfId="19" applyNumberFormat="1" applyFont="1" applyBorder="1" applyProtection="1">
      <protection locked="0"/>
    </xf>
    <xf numFmtId="166" fontId="53" fillId="0" borderId="0" xfId="19" applyNumberFormat="1" applyFont="1" applyBorder="1" applyAlignment="1" applyProtection="1">
      <alignment horizontal="center"/>
      <protection locked="0"/>
    </xf>
    <xf numFmtId="169" fontId="53" fillId="0" borderId="0" xfId="20" applyNumberFormat="1" applyFont="1" applyFill="1" applyBorder="1" applyProtection="1">
      <protection locked="0"/>
    </xf>
    <xf numFmtId="166" fontId="53" fillId="0" borderId="0" xfId="19" applyNumberFormat="1" applyFont="1" applyFill="1" applyBorder="1" applyProtection="1">
      <protection locked="0"/>
    </xf>
    <xf numFmtId="166" fontId="51" fillId="0" borderId="0" xfId="19" applyNumberFormat="1" applyFont="1" applyBorder="1" applyProtection="1">
      <protection locked="0"/>
    </xf>
    <xf numFmtId="166" fontId="51" fillId="0" borderId="0" xfId="19" applyNumberFormat="1" applyFont="1" applyBorder="1" applyAlignment="1" applyProtection="1">
      <alignment horizontal="center"/>
      <protection locked="0"/>
    </xf>
    <xf numFmtId="9" fontId="53" fillId="0" borderId="0" xfId="20" applyFont="1" applyFill="1" applyAlignment="1" applyProtection="1">
      <alignment horizontal="center"/>
      <protection locked="0"/>
    </xf>
    <xf numFmtId="166" fontId="55" fillId="0" borderId="0" xfId="19" applyNumberFormat="1" applyFont="1" applyBorder="1" applyProtection="1">
      <protection locked="0"/>
    </xf>
    <xf numFmtId="166" fontId="55" fillId="0" borderId="0" xfId="19" applyNumberFormat="1" applyFont="1" applyBorder="1" applyAlignment="1" applyProtection="1">
      <alignment horizontal="center"/>
      <protection locked="0"/>
    </xf>
    <xf numFmtId="166" fontId="54" fillId="0" borderId="0" xfId="19" applyNumberFormat="1" applyFont="1" applyBorder="1" applyProtection="1">
      <protection locked="0"/>
    </xf>
    <xf numFmtId="166" fontId="56" fillId="0" borderId="0" xfId="19" applyNumberFormat="1" applyFont="1" applyBorder="1" applyProtection="1">
      <protection locked="0"/>
    </xf>
    <xf numFmtId="166" fontId="55" fillId="0" borderId="0" xfId="19" applyNumberFormat="1" applyFont="1" applyProtection="1">
      <protection locked="0"/>
    </xf>
    <xf numFmtId="166" fontId="55" fillId="0" borderId="0" xfId="19" applyNumberFormat="1" applyFont="1" applyAlignment="1" applyProtection="1">
      <alignment horizontal="center"/>
      <protection locked="0"/>
    </xf>
    <xf numFmtId="166" fontId="57" fillId="0" borderId="0" xfId="19" applyNumberFormat="1" applyFont="1" applyProtection="1">
      <protection locked="0"/>
    </xf>
    <xf numFmtId="166" fontId="52" fillId="0" borderId="0" xfId="19" applyNumberFormat="1" applyFont="1" applyProtection="1">
      <protection locked="0"/>
    </xf>
    <xf numFmtId="166" fontId="43" fillId="0" borderId="0" xfId="19" applyNumberFormat="1" applyFont="1" applyBorder="1" applyProtection="1">
      <protection locked="0"/>
    </xf>
    <xf numFmtId="166" fontId="43" fillId="0" borderId="0" xfId="19" applyNumberFormat="1" applyFont="1" applyBorder="1" applyAlignment="1" applyProtection="1">
      <alignment horizontal="center"/>
      <protection locked="0"/>
    </xf>
    <xf numFmtId="166" fontId="52" fillId="0" borderId="0" xfId="19" applyNumberFormat="1" applyFont="1" applyBorder="1" applyProtection="1">
      <protection locked="0"/>
    </xf>
    <xf numFmtId="166" fontId="55" fillId="0" borderId="1" xfId="19" applyNumberFormat="1" applyFont="1" applyBorder="1" applyProtection="1">
      <protection locked="0"/>
    </xf>
    <xf numFmtId="166" fontId="55" fillId="0" borderId="1" xfId="19" applyNumberFormat="1" applyFont="1" applyBorder="1" applyAlignment="1" applyProtection="1">
      <alignment horizontal="center"/>
      <protection locked="0"/>
    </xf>
    <xf numFmtId="166" fontId="56" fillId="0" borderId="1" xfId="19" applyNumberFormat="1" applyFont="1" applyBorder="1" applyProtection="1">
      <protection locked="0"/>
    </xf>
    <xf numFmtId="9" fontId="54" fillId="0" borderId="0" xfId="20" applyFont="1" applyBorder="1" applyProtection="1">
      <protection locked="0"/>
    </xf>
    <xf numFmtId="166" fontId="43" fillId="0" borderId="2" xfId="19" applyNumberFormat="1" applyFont="1" applyBorder="1" applyProtection="1">
      <protection locked="0"/>
    </xf>
    <xf numFmtId="166" fontId="43" fillId="0" borderId="2" xfId="19" applyNumberFormat="1" applyFont="1" applyBorder="1" applyAlignment="1" applyProtection="1">
      <alignment horizontal="center"/>
      <protection locked="0"/>
    </xf>
    <xf numFmtId="166" fontId="52" fillId="0" borderId="2" xfId="19" applyNumberFormat="1" applyFont="1" applyBorder="1" applyProtection="1">
      <protection locked="0"/>
    </xf>
    <xf numFmtId="166" fontId="56" fillId="0" borderId="4" xfId="19" applyNumberFormat="1" applyFont="1" applyBorder="1" applyProtection="1">
      <protection locked="0"/>
    </xf>
    <xf numFmtId="167" fontId="43" fillId="0" borderId="0" xfId="19" applyNumberFormat="1" applyFont="1" applyFill="1" applyProtection="1">
      <protection locked="0"/>
    </xf>
    <xf numFmtId="166" fontId="55" fillId="0" borderId="3" xfId="19" applyNumberFormat="1" applyFont="1" applyBorder="1" applyProtection="1">
      <protection locked="0"/>
    </xf>
    <xf numFmtId="166" fontId="55" fillId="0" borderId="3" xfId="19" applyNumberFormat="1" applyFont="1" applyBorder="1" applyAlignment="1" applyProtection="1">
      <alignment horizontal="center"/>
      <protection locked="0"/>
    </xf>
    <xf numFmtId="166" fontId="56" fillId="0" borderId="3" xfId="19" applyNumberFormat="1" applyFont="1" applyBorder="1" applyProtection="1">
      <protection locked="0"/>
    </xf>
    <xf numFmtId="0" fontId="58" fillId="0" borderId="0" xfId="21" applyFont="1" applyProtection="1">
      <protection locked="0"/>
    </xf>
    <xf numFmtId="168" fontId="43" fillId="0" borderId="0" xfId="19" applyNumberFormat="1" applyFont="1" applyProtection="1">
      <protection locked="0"/>
    </xf>
    <xf numFmtId="167" fontId="43" fillId="0" borderId="0" xfId="19" applyNumberFormat="1" applyFont="1" applyProtection="1">
      <protection locked="0"/>
    </xf>
    <xf numFmtId="166" fontId="59" fillId="0" borderId="1" xfId="19" applyNumberFormat="1" applyFont="1" applyBorder="1" applyProtection="1">
      <protection locked="0"/>
    </xf>
    <xf numFmtId="166" fontId="43" fillId="0" borderId="1" xfId="19" applyNumberFormat="1" applyFont="1" applyBorder="1" applyProtection="1">
      <protection locked="0"/>
    </xf>
    <xf numFmtId="0" fontId="58" fillId="0" borderId="1" xfId="21" applyFont="1" applyBorder="1" applyProtection="1">
      <protection locked="0"/>
    </xf>
    <xf numFmtId="166" fontId="60" fillId="0" borderId="0" xfId="19" applyNumberFormat="1" applyFont="1" applyProtection="1">
      <protection locked="0"/>
    </xf>
    <xf numFmtId="166" fontId="52" fillId="0" borderId="1" xfId="19" applyNumberFormat="1" applyFont="1" applyBorder="1" applyProtection="1">
      <protection locked="0"/>
    </xf>
    <xf numFmtId="166" fontId="55" fillId="0" borderId="4" xfId="19" applyNumberFormat="1" applyFont="1" applyBorder="1" applyProtection="1">
      <protection locked="0"/>
    </xf>
    <xf numFmtId="166" fontId="55" fillId="0" borderId="4" xfId="19" applyNumberFormat="1" applyFont="1" applyBorder="1" applyAlignment="1" applyProtection="1">
      <alignment horizontal="center"/>
      <protection locked="0"/>
    </xf>
    <xf numFmtId="170" fontId="48" fillId="0" borderId="0" xfId="19" applyNumberFormat="1" applyFont="1" applyProtection="1">
      <protection locked="0"/>
    </xf>
    <xf numFmtId="170" fontId="48" fillId="0" borderId="0" xfId="19" applyNumberFormat="1" applyFont="1" applyAlignment="1" applyProtection="1">
      <alignment horizontal="center"/>
      <protection locked="0"/>
    </xf>
    <xf numFmtId="166" fontId="57" fillId="0" borderId="0" xfId="19" applyNumberFormat="1" applyFont="1" applyAlignment="1" applyProtection="1">
      <alignment horizontal="center"/>
      <protection locked="0"/>
    </xf>
    <xf numFmtId="166" fontId="43" fillId="0" borderId="1" xfId="19" applyNumberFormat="1" applyFont="1" applyBorder="1" applyAlignment="1" applyProtection="1">
      <alignment horizontal="center"/>
      <protection locked="0"/>
    </xf>
    <xf numFmtId="166" fontId="52" fillId="0" borderId="0" xfId="19" applyNumberFormat="1" applyFont="1" applyProtection="1"/>
    <xf numFmtId="166" fontId="57" fillId="0" borderId="0" xfId="19" applyNumberFormat="1" applyFont="1" applyProtection="1"/>
    <xf numFmtId="166" fontId="43" fillId="0" borderId="0" xfId="19" applyNumberFormat="1" applyFont="1" applyProtection="1"/>
    <xf numFmtId="166" fontId="52" fillId="0" borderId="1" xfId="19" applyNumberFormat="1" applyFont="1" applyBorder="1" applyProtection="1"/>
    <xf numFmtId="166" fontId="43" fillId="0" borderId="0" xfId="19" applyNumberFormat="1" applyFont="1" applyFill="1" applyProtection="1"/>
    <xf numFmtId="166" fontId="57" fillId="0" borderId="0" xfId="19" applyNumberFormat="1" applyFont="1" applyFill="1" applyProtection="1"/>
    <xf numFmtId="166" fontId="52" fillId="0" borderId="0" xfId="19" applyNumberFormat="1" applyFont="1" applyFill="1" applyProtection="1"/>
    <xf numFmtId="166" fontId="43" fillId="0" borderId="1" xfId="19" applyNumberFormat="1" applyFont="1" applyBorder="1" applyProtection="1"/>
    <xf numFmtId="166" fontId="56" fillId="0" borderId="0" xfId="19" applyNumberFormat="1" applyFont="1" applyProtection="1">
      <protection locked="0"/>
    </xf>
    <xf numFmtId="9" fontId="53" fillId="0" borderId="1" xfId="20" applyFont="1" applyBorder="1" applyAlignment="1" applyProtection="1">
      <alignment horizontal="right"/>
      <protection locked="0"/>
    </xf>
    <xf numFmtId="9" fontId="53" fillId="0" borderId="0" xfId="20" applyFont="1" applyAlignment="1" applyProtection="1">
      <alignment horizontal="right"/>
      <protection locked="0"/>
    </xf>
    <xf numFmtId="164" fontId="53" fillId="0" borderId="0" xfId="19" applyNumberFormat="1" applyFont="1" applyAlignment="1" applyProtection="1">
      <alignment horizontal="right"/>
      <protection locked="0"/>
    </xf>
    <xf numFmtId="43" fontId="53" fillId="0" borderId="0" xfId="19" applyFont="1" applyAlignment="1" applyProtection="1">
      <alignment horizontal="right"/>
      <protection locked="0"/>
    </xf>
    <xf numFmtId="168" fontId="57" fillId="0" borderId="0" xfId="19" applyNumberFormat="1" applyFont="1" applyAlignment="1" applyProtection="1">
      <alignment horizontal="right"/>
      <protection locked="0"/>
    </xf>
    <xf numFmtId="168" fontId="53" fillId="0" borderId="0" xfId="19" applyNumberFormat="1" applyFont="1" applyAlignment="1" applyProtection="1">
      <alignment horizontal="right"/>
      <protection locked="0"/>
    </xf>
    <xf numFmtId="14" fontId="53" fillId="0" borderId="0" xfId="19" applyNumberFormat="1" applyFont="1" applyProtection="1">
      <protection locked="0"/>
    </xf>
    <xf numFmtId="166" fontId="55" fillId="0" borderId="0" xfId="19" applyNumberFormat="1" applyFont="1" applyFill="1" applyProtection="1">
      <protection locked="0"/>
    </xf>
    <xf numFmtId="166" fontId="43" fillId="0" borderId="0" xfId="19" applyNumberFormat="1" applyFont="1" applyFill="1" applyProtection="1">
      <protection locked="0"/>
    </xf>
    <xf numFmtId="166" fontId="55" fillId="0" borderId="0" xfId="19" applyNumberFormat="1" applyFont="1" applyFill="1" applyAlignment="1" applyProtection="1">
      <alignment horizontal="right"/>
      <protection locked="0"/>
    </xf>
    <xf numFmtId="0" fontId="55" fillId="0" borderId="0" xfId="19" applyNumberFormat="1" applyFont="1" applyFill="1" applyAlignment="1" applyProtection="1">
      <alignment horizontal="right"/>
      <protection locked="0"/>
    </xf>
    <xf numFmtId="0" fontId="55" fillId="0" borderId="0" xfId="19" applyNumberFormat="1" applyFont="1" applyFill="1" applyProtection="1">
      <protection locked="0"/>
    </xf>
    <xf numFmtId="166" fontId="48" fillId="0" borderId="1" xfId="19" applyNumberFormat="1" applyFont="1" applyBorder="1" applyProtection="1">
      <protection locked="0"/>
    </xf>
    <xf numFmtId="14" fontId="61" fillId="0" borderId="1" xfId="19" applyNumberFormat="1" applyFont="1" applyBorder="1" applyProtection="1">
      <protection locked="0"/>
    </xf>
    <xf numFmtId="14" fontId="48" fillId="0" borderId="1" xfId="19" applyNumberFormat="1" applyFont="1" applyBorder="1" applyProtection="1">
      <protection locked="0"/>
    </xf>
    <xf numFmtId="167" fontId="43" fillId="0" borderId="1" xfId="19" applyNumberFormat="1" applyFont="1" applyBorder="1" applyProtection="1">
      <protection locked="0"/>
    </xf>
    <xf numFmtId="171" fontId="48" fillId="0" borderId="0" xfId="19" applyNumberFormat="1" applyFont="1" applyProtection="1">
      <protection locked="0"/>
    </xf>
    <xf numFmtId="171" fontId="43" fillId="0" borderId="0" xfId="19" applyNumberFormat="1" applyFont="1" applyProtection="1">
      <protection locked="0"/>
    </xf>
    <xf numFmtId="167" fontId="43" fillId="0" borderId="0" xfId="19" applyNumberFormat="1" applyFont="1" applyBorder="1" applyProtection="1">
      <protection locked="0"/>
    </xf>
    <xf numFmtId="166" fontId="55" fillId="0" borderId="1" xfId="19" applyNumberFormat="1" applyFont="1" applyFill="1" applyBorder="1" applyProtection="1">
      <protection locked="0"/>
    </xf>
    <xf numFmtId="9" fontId="43" fillId="0" borderId="0" xfId="20" applyFont="1" applyBorder="1" applyProtection="1">
      <protection locked="0"/>
    </xf>
    <xf numFmtId="43" fontId="43" fillId="0" borderId="0" xfId="19" applyFont="1" applyProtection="1">
      <protection locked="0"/>
    </xf>
    <xf numFmtId="171" fontId="55" fillId="9" borderId="0" xfId="19" applyNumberFormat="1" applyFont="1" applyFill="1" applyProtection="1">
      <protection locked="0"/>
    </xf>
    <xf numFmtId="171" fontId="55" fillId="0" borderId="0" xfId="19" applyNumberFormat="1" applyFont="1" applyProtection="1">
      <protection locked="0"/>
    </xf>
    <xf numFmtId="9" fontId="53" fillId="0" borderId="0" xfId="22" applyFont="1" applyFill="1" applyProtection="1">
      <protection locked="0"/>
    </xf>
    <xf numFmtId="166" fontId="57" fillId="0" borderId="1" xfId="19" applyNumberFormat="1" applyFont="1" applyBorder="1" applyProtection="1">
      <protection locked="0"/>
    </xf>
    <xf numFmtId="166" fontId="55" fillId="11" borderId="0" xfId="19" applyNumberFormat="1" applyFont="1" applyFill="1" applyProtection="1">
      <protection locked="0"/>
    </xf>
    <xf numFmtId="166" fontId="43" fillId="11" borderId="0" xfId="19" applyNumberFormat="1" applyFont="1" applyFill="1" applyProtection="1">
      <protection locked="0"/>
    </xf>
    <xf numFmtId="166" fontId="43" fillId="11" borderId="0" xfId="19" applyNumberFormat="1" applyFont="1" applyFill="1" applyAlignment="1" applyProtection="1">
      <alignment horizontal="center"/>
      <protection locked="0"/>
    </xf>
    <xf numFmtId="166" fontId="53" fillId="11" borderId="0" xfId="19" applyNumberFormat="1" applyFont="1" applyFill="1" applyProtection="1">
      <protection locked="0"/>
    </xf>
    <xf numFmtId="166" fontId="43" fillId="11" borderId="0" xfId="19" applyNumberFormat="1" applyFont="1" applyFill="1" applyProtection="1"/>
    <xf numFmtId="166" fontId="27" fillId="0" borderId="1" xfId="19" applyNumberFormat="1" applyFont="1" applyBorder="1" applyProtection="1"/>
    <xf numFmtId="169" fontId="57" fillId="0" borderId="0" xfId="22" applyNumberFormat="1" applyFont="1" applyProtection="1">
      <protection locked="0"/>
    </xf>
    <xf numFmtId="169" fontId="43" fillId="0" borderId="0" xfId="22" applyNumberFormat="1" applyFont="1" applyProtection="1"/>
    <xf numFmtId="166" fontId="28" fillId="0" borderId="1" xfId="19" applyNumberFormat="1" applyFont="1" applyBorder="1" applyAlignment="1" applyProtection="1">
      <alignment horizontal="center"/>
      <protection locked="0"/>
    </xf>
    <xf numFmtId="2" fontId="24" fillId="7" borderId="0" xfId="19" applyNumberFormat="1" applyFont="1" applyFill="1" applyAlignment="1" applyProtection="1">
      <protection locked="0"/>
    </xf>
    <xf numFmtId="166" fontId="52" fillId="0" borderId="0" xfId="19" applyNumberFormat="1" applyFont="1" applyFill="1" applyBorder="1" applyProtection="1">
      <protection locked="0"/>
    </xf>
    <xf numFmtId="166" fontId="54" fillId="0" borderId="0" xfId="19" applyNumberFormat="1" applyFont="1" applyBorder="1" applyAlignment="1" applyProtection="1">
      <alignment horizontal="center"/>
      <protection locked="0"/>
    </xf>
    <xf numFmtId="166" fontId="54" fillId="0" borderId="0" xfId="19" applyNumberFormat="1" applyFont="1" applyFill="1" applyBorder="1" applyProtection="1">
      <protection locked="0"/>
    </xf>
    <xf numFmtId="169" fontId="52" fillId="0" borderId="0" xfId="20" applyNumberFormat="1" applyFont="1" applyFill="1" applyBorder="1" applyAlignment="1" applyProtection="1">
      <alignment horizontal="right"/>
      <protection locked="0"/>
    </xf>
    <xf numFmtId="169" fontId="52" fillId="0" borderId="0" xfId="20" applyNumberFormat="1" applyFont="1" applyFill="1" applyBorder="1" applyProtection="1">
      <protection locked="0"/>
    </xf>
    <xf numFmtId="9" fontId="18" fillId="0" borderId="1" xfId="20" applyFont="1" applyBorder="1" applyProtection="1">
      <protection locked="0"/>
    </xf>
    <xf numFmtId="166" fontId="33" fillId="0" borderId="0" xfId="19" applyNumberFormat="1" applyFont="1" applyFill="1" applyAlignment="1" applyProtection="1">
      <alignment horizontal="right"/>
      <protection locked="0"/>
    </xf>
    <xf numFmtId="9" fontId="33" fillId="0" borderId="0" xfId="22" applyFont="1" applyFill="1" applyProtection="1">
      <protection locked="0"/>
    </xf>
    <xf numFmtId="0" fontId="40" fillId="0" borderId="1" xfId="21" applyFont="1" applyBorder="1" applyProtection="1">
      <protection locked="0"/>
    </xf>
    <xf numFmtId="167" fontId="57" fillId="0" borderId="0" xfId="19" applyNumberFormat="1" applyFont="1" applyProtection="1">
      <protection locked="0"/>
    </xf>
    <xf numFmtId="7" fontId="19" fillId="0" borderId="0" xfId="19" applyNumberFormat="1" applyFont="1" applyFill="1" applyProtection="1">
      <protection locked="0"/>
    </xf>
    <xf numFmtId="169" fontId="19" fillId="0" borderId="0" xfId="22" applyNumberFormat="1" applyFont="1" applyFill="1" applyProtection="1">
      <protection locked="0"/>
    </xf>
    <xf numFmtId="9" fontId="43" fillId="0" borderId="1" xfId="20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right"/>
      <protection locked="0"/>
    </xf>
    <xf numFmtId="166" fontId="29" fillId="0" borderId="0" xfId="19" applyNumberFormat="1" applyFont="1" applyFill="1" applyBorder="1" applyProtection="1">
      <protection locked="0"/>
    </xf>
    <xf numFmtId="9" fontId="19" fillId="0" borderId="0" xfId="22" applyFont="1" applyBorder="1" applyProtection="1">
      <protection locked="0"/>
    </xf>
    <xf numFmtId="10" fontId="19" fillId="0" borderId="0" xfId="22" applyNumberFormat="1" applyFont="1" applyBorder="1" applyProtection="1">
      <protection locked="0"/>
    </xf>
    <xf numFmtId="169" fontId="19" fillId="0" borderId="0" xfId="22" applyNumberFormat="1" applyFont="1" applyBorder="1" applyProtection="1">
      <protection locked="0"/>
    </xf>
    <xf numFmtId="166" fontId="23" fillId="6" borderId="0" xfId="19" applyNumberFormat="1" applyFont="1" applyFill="1" applyProtection="1">
      <protection locked="0"/>
    </xf>
    <xf numFmtId="166" fontId="26" fillId="6" borderId="0" xfId="19" applyNumberFormat="1" applyFont="1" applyFill="1" applyProtection="1">
      <protection locked="0"/>
    </xf>
    <xf numFmtId="166" fontId="26" fillId="6" borderId="0" xfId="19" applyNumberFormat="1" applyFont="1" applyFill="1" applyAlignment="1" applyProtection="1">
      <alignment horizontal="center"/>
      <protection locked="0"/>
    </xf>
    <xf numFmtId="166" fontId="62" fillId="0" borderId="0" xfId="19" applyNumberFormat="1" applyFont="1" applyProtection="1">
      <protection locked="0"/>
    </xf>
    <xf numFmtId="0" fontId="63" fillId="0" borderId="0" xfId="19" applyNumberFormat="1" applyFont="1" applyProtection="1">
      <protection locked="0"/>
    </xf>
    <xf numFmtId="43" fontId="18" fillId="0" borderId="1" xfId="19" applyFont="1" applyBorder="1" applyProtection="1">
      <protection locked="0"/>
    </xf>
    <xf numFmtId="166" fontId="62" fillId="10" borderId="0" xfId="19" applyNumberFormat="1" applyFont="1" applyFill="1" applyProtection="1">
      <protection locked="0"/>
    </xf>
    <xf numFmtId="166" fontId="27" fillId="0" borderId="6" xfId="19" applyNumberFormat="1" applyFont="1" applyBorder="1" applyProtection="1">
      <protection locked="0"/>
    </xf>
    <xf numFmtId="9" fontId="27" fillId="0" borderId="4" xfId="22" applyFont="1" applyBorder="1" applyProtection="1">
      <protection locked="0"/>
    </xf>
    <xf numFmtId="9" fontId="18" fillId="0" borderId="0" xfId="22" applyFont="1" applyProtection="1">
      <protection locked="0"/>
    </xf>
    <xf numFmtId="166" fontId="27" fillId="11" borderId="0" xfId="19" applyNumberFormat="1" applyFont="1" applyFill="1" applyAlignment="1" applyProtection="1">
      <alignment horizontal="centerContinuous"/>
      <protection locked="0"/>
    </xf>
    <xf numFmtId="7" fontId="26" fillId="0" borderId="1" xfId="19" applyNumberFormat="1" applyFont="1" applyBorder="1" applyProtection="1">
      <protection locked="0"/>
    </xf>
    <xf numFmtId="7" fontId="37" fillId="0" borderId="1" xfId="19" applyNumberFormat="1" applyFont="1" applyBorder="1" applyProtection="1">
      <protection locked="0"/>
    </xf>
    <xf numFmtId="166" fontId="64" fillId="0" borderId="1" xfId="19" applyNumberFormat="1" applyFont="1" applyBorder="1" applyProtection="1">
      <protection locked="0"/>
    </xf>
    <xf numFmtId="169" fontId="27" fillId="0" borderId="1" xfId="22" applyNumberFormat="1" applyFont="1" applyBorder="1" applyProtection="1">
      <protection locked="0"/>
    </xf>
    <xf numFmtId="7" fontId="37" fillId="0" borderId="0" xfId="19" applyNumberFormat="1" applyFont="1" applyProtection="1">
      <protection locked="0"/>
    </xf>
    <xf numFmtId="7" fontId="19" fillId="0" borderId="0" xfId="19" applyNumberFormat="1" applyFont="1" applyAlignment="1" applyProtection="1">
      <alignment horizontal="right"/>
      <protection locked="0"/>
    </xf>
    <xf numFmtId="7" fontId="28" fillId="0" borderId="1" xfId="19" applyNumberFormat="1" applyFont="1" applyBorder="1" applyProtection="1">
      <protection locked="0"/>
    </xf>
    <xf numFmtId="169" fontId="27" fillId="0" borderId="0" xfId="22" applyNumberFormat="1" applyFont="1" applyProtection="1">
      <protection locked="0"/>
    </xf>
    <xf numFmtId="7" fontId="28" fillId="0" borderId="0" xfId="19" applyNumberFormat="1" applyFont="1" applyProtection="1">
      <protection locked="0"/>
    </xf>
    <xf numFmtId="166" fontId="18" fillId="13" borderId="0" xfId="19" applyNumberFormat="1" applyFont="1" applyFill="1" applyProtection="1">
      <protection locked="0"/>
    </xf>
    <xf numFmtId="166" fontId="18" fillId="13" borderId="0" xfId="19" applyNumberFormat="1" applyFont="1" applyFill="1" applyAlignment="1" applyProtection="1">
      <alignment horizontal="centerContinuous"/>
      <protection locked="0"/>
    </xf>
    <xf numFmtId="9" fontId="22" fillId="13" borderId="0" xfId="22" applyFont="1" applyFill="1" applyProtection="1">
      <protection locked="0"/>
    </xf>
    <xf numFmtId="9" fontId="19" fillId="13" borderId="0" xfId="22" applyFont="1" applyFill="1" applyAlignment="1" applyProtection="1">
      <alignment horizontal="right"/>
      <protection locked="0"/>
    </xf>
    <xf numFmtId="9" fontId="18" fillId="13" borderId="0" xfId="22" applyFont="1" applyFill="1" applyAlignment="1" applyProtection="1">
      <alignment horizontal="right"/>
      <protection locked="0"/>
    </xf>
    <xf numFmtId="166" fontId="19" fillId="13" borderId="7" xfId="19" applyNumberFormat="1" applyFont="1" applyFill="1" applyBorder="1" applyProtection="1">
      <protection locked="0"/>
    </xf>
    <xf numFmtId="169" fontId="18" fillId="13" borderId="1" xfId="22" applyNumberFormat="1" applyFont="1" applyFill="1" applyBorder="1" applyAlignment="1" applyProtection="1">
      <alignment horizontal="right"/>
      <protection locked="0"/>
    </xf>
    <xf numFmtId="171" fontId="19" fillId="13" borderId="7" xfId="19" applyNumberFormat="1" applyFont="1" applyFill="1" applyBorder="1" applyProtection="1">
      <protection locked="0"/>
    </xf>
    <xf numFmtId="169" fontId="18" fillId="13" borderId="8" xfId="22" applyNumberFormat="1" applyFont="1" applyFill="1" applyBorder="1" applyProtection="1">
      <protection locked="0"/>
    </xf>
    <xf numFmtId="169" fontId="18" fillId="13" borderId="1" xfId="22" applyNumberFormat="1" applyFont="1" applyFill="1" applyBorder="1" applyProtection="1">
      <protection locked="0"/>
    </xf>
    <xf numFmtId="166" fontId="18" fillId="13" borderId="7" xfId="19" applyNumberFormat="1" applyFont="1" applyFill="1" applyBorder="1" applyProtection="1">
      <protection locked="0"/>
    </xf>
    <xf numFmtId="169" fontId="18" fillId="13" borderId="0" xfId="22" applyNumberFormat="1" applyFont="1" applyFill="1" applyAlignment="1" applyProtection="1">
      <alignment horizontal="right"/>
      <protection locked="0"/>
    </xf>
    <xf numFmtId="171" fontId="18" fillId="13" borderId="7" xfId="19" applyNumberFormat="1" applyFont="1" applyFill="1" applyBorder="1" applyProtection="1">
      <protection locked="0"/>
    </xf>
    <xf numFmtId="169" fontId="18" fillId="13" borderId="0" xfId="22" applyNumberFormat="1" applyFont="1" applyFill="1" applyProtection="1">
      <protection locked="0"/>
    </xf>
  </cellXfs>
  <cellStyles count="23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3" xfId="21" xr:uid="{00000000-0005-0000-0000-00000C000000}"/>
    <cellStyle name="Percent" xfId="22" builtinId="5"/>
    <cellStyle name="Percent 2" xfId="18" xr:uid="{00000000-0005-0000-0000-00000E000000}"/>
    <cellStyle name="Percent 3" xfId="20" xr:uid="{00000000-0005-0000-0000-00000F000000}"/>
    <cellStyle name="SectionHeaderNormal" xfId="5" xr:uid="{00000000-0005-0000-0000-000010000000}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  <cellStyle name="Total" xfId="12" builtinId="25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132E57"/>
      <color rgb="FFED942D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6"/>
  <sheetViews>
    <sheetView showGridLines="0" workbookViewId="0"/>
  </sheetViews>
  <sheetFormatPr baseColWidth="10" defaultColWidth="9.1640625" defaultRowHeight="16" outlineLevelRow="1"/>
  <cols>
    <col min="1" max="2" width="14.5" style="8" customWidth="1"/>
    <col min="3" max="3" width="14.5" style="14" customWidth="1"/>
    <col min="4" max="13" width="14.5" style="8" customWidth="1"/>
    <col min="14" max="16384" width="9.1640625" style="8"/>
  </cols>
  <sheetData>
    <row r="1" spans="1:13">
      <c r="A1" s="1"/>
      <c r="B1" s="2"/>
      <c r="C1" s="3"/>
      <c r="D1" s="3"/>
      <c r="E1" s="3"/>
      <c r="F1" s="3"/>
      <c r="G1" s="3"/>
      <c r="H1" s="3"/>
      <c r="I1" s="3"/>
      <c r="J1" s="7"/>
      <c r="K1" s="7"/>
      <c r="L1" s="7"/>
      <c r="M1" s="7"/>
    </row>
    <row r="2" spans="1:13" ht="21" customHeight="1">
      <c r="A2" s="9" t="str">
        <f>"Merger Assumptions for "&amp;D7&amp;" &amp; "&amp;D8</f>
        <v>Merger Assumptions for Company X &amp; Company Y</v>
      </c>
      <c r="B2" s="10"/>
      <c r="C2" s="11"/>
      <c r="D2" s="11"/>
      <c r="E2" s="11"/>
      <c r="F2" s="11"/>
      <c r="G2" s="11"/>
      <c r="H2" s="11"/>
      <c r="I2" s="11"/>
      <c r="J2" s="285"/>
      <c r="K2" s="13"/>
      <c r="L2" s="13"/>
      <c r="M2" s="13"/>
    </row>
    <row r="3" spans="1:13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">
      <c r="A4" s="16" t="s">
        <v>14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outlineLevel="1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outlineLevel="1">
      <c r="A6" s="110" t="s">
        <v>170</v>
      </c>
      <c r="B6" s="104"/>
      <c r="C6" s="105"/>
      <c r="D6" s="104"/>
      <c r="F6" s="110" t="s">
        <v>116</v>
      </c>
      <c r="G6" s="104"/>
      <c r="H6" s="104"/>
      <c r="I6" s="104"/>
      <c r="J6" s="104"/>
      <c r="K6" s="104"/>
      <c r="L6" s="104"/>
      <c r="M6" s="104"/>
    </row>
    <row r="7" spans="1:13" outlineLevel="1">
      <c r="A7" s="8" t="s">
        <v>111</v>
      </c>
      <c r="D7" s="102" t="s">
        <v>235</v>
      </c>
      <c r="F7" s="41"/>
      <c r="G7" s="299"/>
      <c r="H7" s="300"/>
      <c r="I7" s="37"/>
      <c r="J7" s="37"/>
      <c r="K7" s="37"/>
      <c r="L7" s="37"/>
      <c r="M7" s="37"/>
    </row>
    <row r="8" spans="1:13" outlineLevel="1">
      <c r="A8" s="8" t="s">
        <v>112</v>
      </c>
      <c r="D8" s="102" t="s">
        <v>236</v>
      </c>
      <c r="H8" s="101"/>
    </row>
    <row r="9" spans="1:13" outlineLevel="1">
      <c r="A9" s="8" t="s">
        <v>113</v>
      </c>
      <c r="C9" s="101"/>
      <c r="D9" s="296">
        <v>13</v>
      </c>
      <c r="F9" s="21" t="s">
        <v>115</v>
      </c>
      <c r="H9" s="101"/>
      <c r="I9" s="32"/>
      <c r="J9" s="32"/>
      <c r="K9" s="32"/>
      <c r="L9" s="32"/>
      <c r="M9" s="32"/>
    </row>
    <row r="10" spans="1:13" outlineLevel="1">
      <c r="A10" s="8" t="s">
        <v>114</v>
      </c>
      <c r="C10" s="101"/>
      <c r="D10" s="296">
        <v>15.5</v>
      </c>
      <c r="F10" s="26" t="s">
        <v>118</v>
      </c>
      <c r="G10" s="26"/>
      <c r="H10" s="154">
        <v>6500</v>
      </c>
      <c r="I10" s="48"/>
      <c r="J10" s="48"/>
      <c r="K10" s="48"/>
      <c r="L10" s="48"/>
      <c r="M10" s="48"/>
    </row>
    <row r="11" spans="1:13" outlineLevel="1">
      <c r="A11" s="8" t="s">
        <v>171</v>
      </c>
      <c r="D11" s="84">
        <v>42840</v>
      </c>
      <c r="F11" s="8" t="s">
        <v>117</v>
      </c>
      <c r="H11" s="155">
        <v>875</v>
      </c>
      <c r="I11" s="48"/>
      <c r="J11" s="48"/>
      <c r="K11" s="48"/>
      <c r="L11" s="48"/>
      <c r="M11" s="48"/>
    </row>
    <row r="12" spans="1:13" outlineLevel="1">
      <c r="A12" s="8" t="s">
        <v>127</v>
      </c>
      <c r="D12" s="102" t="s">
        <v>214</v>
      </c>
      <c r="F12" s="8" t="s">
        <v>187</v>
      </c>
      <c r="H12" s="155">
        <v>1250</v>
      </c>
      <c r="I12" s="48"/>
      <c r="J12" s="48"/>
      <c r="K12" s="48"/>
      <c r="L12" s="48"/>
      <c r="M12" s="48"/>
    </row>
    <row r="13" spans="1:13" outlineLevel="1">
      <c r="A13" s="8" t="s">
        <v>128</v>
      </c>
      <c r="D13" s="102" t="s">
        <v>215</v>
      </c>
      <c r="F13" s="106" t="s">
        <v>186</v>
      </c>
      <c r="H13" s="155">
        <v>1000</v>
      </c>
      <c r="I13" s="48"/>
      <c r="J13" s="48"/>
      <c r="K13" s="48"/>
      <c r="L13" s="48"/>
      <c r="M13" s="48"/>
    </row>
    <row r="14" spans="1:13" outlineLevel="1">
      <c r="H14" s="155"/>
      <c r="I14" s="32"/>
      <c r="J14" s="32"/>
      <c r="K14" s="32"/>
      <c r="L14" s="32"/>
      <c r="M14" s="32"/>
    </row>
    <row r="15" spans="1:13" outlineLevel="1">
      <c r="A15" s="8" t="s">
        <v>167</v>
      </c>
      <c r="D15" s="52">
        <v>3000</v>
      </c>
      <c r="F15" s="8" t="s">
        <v>233</v>
      </c>
      <c r="H15" s="156">
        <v>0.3</v>
      </c>
      <c r="I15" s="301"/>
      <c r="J15" s="301"/>
      <c r="K15" s="301"/>
      <c r="L15" s="301"/>
      <c r="M15" s="301"/>
    </row>
    <row r="16" spans="1:13" outlineLevel="1">
      <c r="A16" s="8" t="s">
        <v>129</v>
      </c>
      <c r="D16" s="109">
        <v>0.05</v>
      </c>
      <c r="F16" s="8" t="s">
        <v>119</v>
      </c>
      <c r="H16" s="156">
        <v>0.65</v>
      </c>
      <c r="I16" s="301"/>
      <c r="J16" s="301"/>
      <c r="K16" s="301"/>
      <c r="L16" s="301"/>
      <c r="M16" s="301"/>
    </row>
    <row r="17" spans="1:13" outlineLevel="1">
      <c r="A17" s="8" t="s">
        <v>130</v>
      </c>
      <c r="D17" s="109">
        <v>0.05</v>
      </c>
      <c r="F17" s="8" t="s">
        <v>120</v>
      </c>
      <c r="H17" s="156">
        <v>1</v>
      </c>
      <c r="I17" s="301"/>
      <c r="J17" s="301"/>
      <c r="K17" s="301"/>
      <c r="L17" s="301"/>
      <c r="M17" s="301"/>
    </row>
    <row r="18" spans="1:13" outlineLevel="1">
      <c r="A18" s="8" t="s">
        <v>141</v>
      </c>
      <c r="D18" s="52">
        <v>2000</v>
      </c>
      <c r="H18" s="101"/>
      <c r="I18" s="32"/>
      <c r="J18" s="32"/>
      <c r="K18" s="32"/>
      <c r="L18" s="32"/>
      <c r="M18" s="32"/>
    </row>
    <row r="19" spans="1:13" outlineLevel="1">
      <c r="F19" s="21" t="s">
        <v>121</v>
      </c>
      <c r="H19" s="101"/>
      <c r="I19" s="32"/>
      <c r="J19" s="32"/>
      <c r="K19" s="32"/>
      <c r="L19" s="32"/>
      <c r="M19" s="32"/>
    </row>
    <row r="20" spans="1:13" outlineLevel="1">
      <c r="A20" s="8" t="s">
        <v>131</v>
      </c>
      <c r="D20" s="101" t="s">
        <v>217</v>
      </c>
      <c r="F20" s="27" t="s">
        <v>203</v>
      </c>
      <c r="G20" s="26"/>
      <c r="H20" s="157"/>
      <c r="I20" s="32"/>
      <c r="J20" s="32"/>
      <c r="K20" s="32"/>
      <c r="L20" s="32"/>
      <c r="M20" s="32"/>
    </row>
    <row r="21" spans="1:13" outlineLevel="1">
      <c r="A21" s="8" t="s">
        <v>199</v>
      </c>
      <c r="D21" s="101" t="s">
        <v>218</v>
      </c>
      <c r="F21" s="8" t="s">
        <v>122</v>
      </c>
      <c r="H21" s="155">
        <v>100000</v>
      </c>
      <c r="I21" s="48"/>
      <c r="J21" s="48"/>
      <c r="K21" s="48"/>
      <c r="L21" s="48"/>
      <c r="M21" s="48"/>
    </row>
    <row r="22" spans="1:13" outlineLevel="1">
      <c r="F22" s="8" t="s">
        <v>123</v>
      </c>
      <c r="H22" s="155">
        <v>50000</v>
      </c>
      <c r="I22" s="48"/>
      <c r="J22" s="48"/>
      <c r="K22" s="48"/>
      <c r="L22" s="48"/>
      <c r="M22" s="48"/>
    </row>
    <row r="23" spans="1:13" outlineLevel="1">
      <c r="A23" s="8" t="s">
        <v>135</v>
      </c>
      <c r="D23" s="52">
        <v>50000</v>
      </c>
      <c r="F23" s="8" t="s">
        <v>124</v>
      </c>
      <c r="H23" s="155">
        <v>25000</v>
      </c>
      <c r="I23" s="48"/>
      <c r="J23" s="48"/>
      <c r="K23" s="48"/>
      <c r="L23" s="48"/>
      <c r="M23" s="48"/>
    </row>
    <row r="24" spans="1:13" outlineLevel="1">
      <c r="A24" s="8" t="s">
        <v>136</v>
      </c>
      <c r="D24" s="52">
        <v>25000</v>
      </c>
      <c r="F24" s="21" t="s">
        <v>192</v>
      </c>
      <c r="H24" s="155"/>
      <c r="I24" s="48"/>
      <c r="J24" s="48"/>
      <c r="K24" s="48"/>
      <c r="L24" s="48"/>
      <c r="M24" s="48"/>
    </row>
    <row r="25" spans="1:13" outlineLevel="1">
      <c r="A25" s="8" t="s">
        <v>191</v>
      </c>
      <c r="D25" s="8">
        <f>M39/D29</f>
        <v>19010.007849293565</v>
      </c>
      <c r="F25" s="8" t="s">
        <v>122</v>
      </c>
      <c r="H25" s="158">
        <v>5.5E-2</v>
      </c>
      <c r="I25" s="302"/>
      <c r="J25" s="302"/>
      <c r="K25" s="302"/>
      <c r="L25" s="302"/>
      <c r="M25" s="302"/>
    </row>
    <row r="26" spans="1:13" outlineLevel="1">
      <c r="A26" s="8" t="s">
        <v>190</v>
      </c>
      <c r="D26" s="32">
        <f>D23+D25</f>
        <v>69010.007849293557</v>
      </c>
      <c r="F26" s="8" t="s">
        <v>123</v>
      </c>
      <c r="H26" s="158">
        <v>5.7500000000000002E-2</v>
      </c>
      <c r="I26" s="302"/>
      <c r="J26" s="302"/>
      <c r="K26" s="302"/>
      <c r="L26" s="302"/>
      <c r="M26" s="302"/>
    </row>
    <row r="27" spans="1:13" outlineLevel="1">
      <c r="F27" s="8" t="s">
        <v>124</v>
      </c>
      <c r="H27" s="158">
        <v>8.2500000000000004E-2</v>
      </c>
      <c r="I27" s="302"/>
      <c r="J27" s="302"/>
      <c r="K27" s="302"/>
      <c r="L27" s="302"/>
      <c r="M27" s="302"/>
    </row>
    <row r="28" spans="1:13" outlineLevel="1">
      <c r="A28" s="8" t="s">
        <v>196</v>
      </c>
      <c r="D28" s="297">
        <v>0.02</v>
      </c>
      <c r="F28" s="21"/>
      <c r="H28" s="103"/>
      <c r="I28" s="32"/>
      <c r="J28" s="32"/>
      <c r="K28" s="32"/>
      <c r="L28" s="32"/>
      <c r="M28" s="32"/>
    </row>
    <row r="29" spans="1:13" outlineLevel="1">
      <c r="A29" s="8" t="s">
        <v>216</v>
      </c>
      <c r="D29" s="151">
        <f>D9*(1-D28)</f>
        <v>12.74</v>
      </c>
      <c r="I29" s="32"/>
      <c r="J29" s="32"/>
      <c r="K29" s="32"/>
      <c r="L29" s="32"/>
      <c r="M29" s="32"/>
    </row>
    <row r="30" spans="1:13" outlineLevel="1">
      <c r="F30" s="21" t="s">
        <v>6</v>
      </c>
      <c r="H30" s="101"/>
      <c r="I30" s="32"/>
      <c r="J30" s="32"/>
      <c r="K30" s="32"/>
      <c r="L30" s="32"/>
      <c r="M30" s="32"/>
    </row>
    <row r="31" spans="1:13" outlineLevel="1">
      <c r="F31" s="26" t="s">
        <v>125</v>
      </c>
      <c r="G31" s="26"/>
      <c r="H31" s="159">
        <v>0.25</v>
      </c>
      <c r="I31" s="303"/>
      <c r="J31" s="303"/>
      <c r="K31" s="303"/>
      <c r="L31" s="303"/>
      <c r="M31" s="303"/>
    </row>
    <row r="32" spans="1:13" outlineLevel="1">
      <c r="A32" s="110" t="s">
        <v>132</v>
      </c>
      <c r="B32" s="104"/>
      <c r="C32" s="105"/>
      <c r="D32" s="104"/>
      <c r="F32" s="8" t="s">
        <v>126</v>
      </c>
      <c r="H32" s="160">
        <v>0.5</v>
      </c>
      <c r="I32" s="303"/>
      <c r="J32" s="303"/>
      <c r="K32" s="303"/>
      <c r="L32" s="303"/>
      <c r="M32" s="303"/>
    </row>
    <row r="33" spans="1:13" outlineLevel="1">
      <c r="A33" s="8" t="s">
        <v>114</v>
      </c>
      <c r="D33" s="111">
        <f>D10</f>
        <v>15.5</v>
      </c>
    </row>
    <row r="34" spans="1:13" outlineLevel="1">
      <c r="A34" s="8" t="s">
        <v>125</v>
      </c>
      <c r="D34" s="108">
        <f>H31</f>
        <v>0.25</v>
      </c>
      <c r="H34" s="101"/>
    </row>
    <row r="35" spans="1:13" outlineLevel="1">
      <c r="A35" s="26" t="s">
        <v>133</v>
      </c>
      <c r="B35" s="26"/>
      <c r="C35" s="70"/>
      <c r="D35" s="113">
        <f>D33*(1+D34)</f>
        <v>19.375</v>
      </c>
      <c r="H35" s="101"/>
    </row>
    <row r="36" spans="1:13" outlineLevel="1">
      <c r="F36" s="110" t="s">
        <v>139</v>
      </c>
      <c r="G36" s="104"/>
      <c r="H36" s="105"/>
      <c r="I36" s="104"/>
      <c r="J36" s="110"/>
      <c r="K36" s="104"/>
      <c r="L36" s="105"/>
      <c r="M36" s="104"/>
    </row>
    <row r="37" spans="1:13" outlineLevel="1">
      <c r="A37" s="8" t="s">
        <v>113</v>
      </c>
      <c r="D37" s="111">
        <f>D9</f>
        <v>13</v>
      </c>
      <c r="F37" s="21" t="s">
        <v>140</v>
      </c>
      <c r="K37" s="21" t="s">
        <v>219</v>
      </c>
    </row>
    <row r="38" spans="1:13" outlineLevel="1">
      <c r="A38" s="8" t="s">
        <v>134</v>
      </c>
      <c r="D38" s="112">
        <f>D35/D37</f>
        <v>1.4903846153846154</v>
      </c>
      <c r="F38" s="26" t="s">
        <v>42</v>
      </c>
      <c r="G38" s="26"/>
      <c r="H38" s="153">
        <f>M45-H39-H40</f>
        <v>106847.95026881719</v>
      </c>
      <c r="I38" s="53"/>
      <c r="J38" s="53"/>
      <c r="K38" s="153" t="s">
        <v>126</v>
      </c>
      <c r="L38" s="153"/>
      <c r="M38" s="153">
        <f>D42*H32</f>
        <v>242187.5</v>
      </c>
    </row>
    <row r="39" spans="1:13" outlineLevel="1">
      <c r="F39" s="8" t="s">
        <v>142</v>
      </c>
      <c r="H39" s="53">
        <f>M39</f>
        <v>242187.5</v>
      </c>
      <c r="I39" s="53"/>
      <c r="J39" s="53"/>
      <c r="K39" s="53" t="s">
        <v>220</v>
      </c>
      <c r="L39" s="53"/>
      <c r="M39" s="53">
        <f>D42*(1-H32)</f>
        <v>242187.5</v>
      </c>
    </row>
    <row r="40" spans="1:13" outlineLevel="1">
      <c r="A40" s="8" t="s">
        <v>210</v>
      </c>
      <c r="D40" s="8">
        <f>D24</f>
        <v>25000</v>
      </c>
      <c r="F40" s="8" t="s">
        <v>143</v>
      </c>
      <c r="H40" s="53">
        <f>SUM(H21:H23)</f>
        <v>175000</v>
      </c>
      <c r="I40" s="53"/>
      <c r="J40" s="53"/>
      <c r="K40" s="53" t="s">
        <v>221</v>
      </c>
      <c r="L40" s="53"/>
      <c r="M40" s="53">
        <f>IF(D20="yes",D43,0)</f>
        <v>16801.075268817203</v>
      </c>
    </row>
    <row r="41" spans="1:13" outlineLevel="1">
      <c r="A41" s="8" t="s">
        <v>133</v>
      </c>
      <c r="D41" s="111">
        <f>D35</f>
        <v>19.375</v>
      </c>
      <c r="H41" s="53"/>
      <c r="I41" s="53"/>
      <c r="J41" s="53"/>
      <c r="K41" s="8" t="s">
        <v>222</v>
      </c>
      <c r="M41" s="143">
        <f>IF(D21="yes",'Acquirer Model'!O90+'Acquirer Model'!O93,0)</f>
        <v>0</v>
      </c>
    </row>
    <row r="42" spans="1:13" outlineLevel="1">
      <c r="A42" s="27" t="s">
        <v>132</v>
      </c>
      <c r="B42" s="27"/>
      <c r="C42" s="28"/>
      <c r="D42" s="27">
        <f>D40*D41</f>
        <v>484375</v>
      </c>
      <c r="H42" s="53"/>
      <c r="I42" s="53"/>
      <c r="J42" s="53"/>
      <c r="K42" s="53" t="s">
        <v>223</v>
      </c>
      <c r="L42" s="53"/>
      <c r="M42" s="53">
        <f>D17*SUM(H21:H23)</f>
        <v>8750</v>
      </c>
    </row>
    <row r="43" spans="1:13" outlineLevel="1">
      <c r="A43" s="8" t="s">
        <v>137</v>
      </c>
      <c r="D43" s="143">
        <f>'Target Model'!O90+'Target Model'!O93</f>
        <v>16801.075268817203</v>
      </c>
      <c r="H43" s="53"/>
      <c r="I43" s="53"/>
      <c r="J43" s="53"/>
      <c r="K43" s="53" t="s">
        <v>224</v>
      </c>
      <c r="L43" s="53"/>
      <c r="M43" s="53">
        <f>M39*D16</f>
        <v>12109.375</v>
      </c>
    </row>
    <row r="44" spans="1:13" outlineLevel="1">
      <c r="A44" s="8" t="s">
        <v>138</v>
      </c>
      <c r="D44" s="143">
        <f>'Target Model'!O81</f>
        <v>64450.797379479132</v>
      </c>
      <c r="K44" s="53" t="s">
        <v>141</v>
      </c>
      <c r="L44" s="53"/>
      <c r="M44" s="53">
        <f>D18</f>
        <v>2000</v>
      </c>
    </row>
    <row r="45" spans="1:13" outlineLevel="1">
      <c r="A45" s="27" t="s">
        <v>104</v>
      </c>
      <c r="B45" s="27"/>
      <c r="C45" s="28"/>
      <c r="D45" s="27">
        <f>D42+D43-D44</f>
        <v>436725.27788933809</v>
      </c>
      <c r="F45" s="27" t="s">
        <v>144</v>
      </c>
      <c r="G45" s="27"/>
      <c r="H45" s="27">
        <f>SUM(H38:H44)</f>
        <v>524035.45026881719</v>
      </c>
      <c r="J45" s="32"/>
      <c r="K45" s="27" t="s">
        <v>225</v>
      </c>
      <c r="L45" s="27"/>
      <c r="M45" s="27">
        <f>SUM(M38:M44)</f>
        <v>524035.45026881719</v>
      </c>
    </row>
    <row r="46" spans="1:13" outlineLevel="1"/>
    <row r="47" spans="1:13" outlineLevel="1"/>
    <row r="48" spans="1:13" outlineLevel="1"/>
    <row r="49" spans="1:13" outlineLevel="1">
      <c r="A49" s="110" t="s">
        <v>145</v>
      </c>
      <c r="B49" s="110"/>
      <c r="C49" s="114"/>
      <c r="D49" s="110"/>
      <c r="E49" s="110"/>
      <c r="F49" s="110"/>
      <c r="G49" s="110"/>
      <c r="H49" s="110"/>
      <c r="I49" s="110"/>
      <c r="J49" s="110"/>
      <c r="K49" s="110"/>
      <c r="L49" s="110"/>
      <c r="M49" s="110"/>
    </row>
    <row r="50" spans="1:13" outlineLevel="1">
      <c r="A50" s="21" t="s">
        <v>146</v>
      </c>
      <c r="D50" s="8" t="s">
        <v>149</v>
      </c>
      <c r="E50" s="101" t="s">
        <v>151</v>
      </c>
      <c r="F50" s="101" t="s">
        <v>160</v>
      </c>
      <c r="I50" s="21" t="s">
        <v>161</v>
      </c>
    </row>
    <row r="51" spans="1:13" outlineLevel="1">
      <c r="A51" s="26" t="s">
        <v>159</v>
      </c>
      <c r="B51" s="26"/>
      <c r="C51" s="70"/>
      <c r="D51" s="144">
        <f>'Target Model'!O82+'Target Model'!O83+'Target Model'!O81</f>
        <v>78798.978153715347</v>
      </c>
      <c r="E51" s="129">
        <v>80000</v>
      </c>
      <c r="F51" s="26">
        <f>E51-D51</f>
        <v>1201.0218462846533</v>
      </c>
      <c r="I51" s="26" t="s">
        <v>168</v>
      </c>
      <c r="J51" s="26"/>
      <c r="K51" s="26"/>
      <c r="L51" s="26"/>
      <c r="M51" s="26">
        <f>D42</f>
        <v>484375</v>
      </c>
    </row>
    <row r="52" spans="1:13" outlineLevel="1">
      <c r="A52" s="8" t="s">
        <v>147</v>
      </c>
      <c r="D52" s="143">
        <f>'Target Model'!O85</f>
        <v>21461.871135752688</v>
      </c>
      <c r="E52" s="52">
        <v>30000</v>
      </c>
      <c r="F52" s="8">
        <f t="shared" ref="F52:F53" si="0">E52-D52</f>
        <v>8538.1288642473119</v>
      </c>
      <c r="I52" s="8" t="s">
        <v>162</v>
      </c>
      <c r="M52" s="131">
        <f>'Target Model'!O87-'Target Model'!O94</f>
        <v>79066.816991080937</v>
      </c>
    </row>
    <row r="53" spans="1:13" outlineLevel="1">
      <c r="A53" s="8" t="s">
        <v>148</v>
      </c>
      <c r="D53" s="143"/>
      <c r="E53" s="8">
        <v>0</v>
      </c>
      <c r="F53" s="8">
        <f t="shared" si="0"/>
        <v>0</v>
      </c>
      <c r="I53" s="26" t="s">
        <v>163</v>
      </c>
      <c r="J53" s="26"/>
      <c r="K53" s="26"/>
      <c r="L53" s="26"/>
      <c r="M53" s="26">
        <f>M51-M52</f>
        <v>405308.18300891906</v>
      </c>
    </row>
    <row r="54" spans="1:13" outlineLevel="1">
      <c r="A54" s="26" t="s">
        <v>150</v>
      </c>
      <c r="B54" s="26"/>
      <c r="C54" s="70"/>
      <c r="D54" s="26">
        <f>SUM(D51:D53)</f>
        <v>100260.84928946804</v>
      </c>
      <c r="E54" s="26">
        <f t="shared" ref="E54:F54" si="1">SUM(E51:E53)</f>
        <v>110000</v>
      </c>
      <c r="F54" s="26">
        <f t="shared" si="1"/>
        <v>9739.1507105319652</v>
      </c>
      <c r="I54" s="8" t="s">
        <v>169</v>
      </c>
      <c r="M54" s="52">
        <v>0</v>
      </c>
    </row>
    <row r="55" spans="1:13" outlineLevel="1">
      <c r="I55" s="8" t="s">
        <v>164</v>
      </c>
      <c r="M55" s="8">
        <f>F54</f>
        <v>9739.1507105319652</v>
      </c>
    </row>
    <row r="56" spans="1:13" outlineLevel="1">
      <c r="I56" s="26" t="s">
        <v>165</v>
      </c>
      <c r="J56" s="26"/>
      <c r="K56" s="26"/>
      <c r="L56" s="26"/>
      <c r="M56" s="26">
        <f>M53-M55</f>
        <v>395569.03229838709</v>
      </c>
    </row>
    <row r="57" spans="1:13" outlineLevel="1">
      <c r="I57" s="27" t="s">
        <v>166</v>
      </c>
      <c r="J57" s="27"/>
      <c r="K57" s="27"/>
      <c r="L57" s="27"/>
      <c r="M57" s="27">
        <f>+M56</f>
        <v>395569.03229838709</v>
      </c>
    </row>
    <row r="58" spans="1:13" outlineLevel="1">
      <c r="I58" s="41"/>
      <c r="J58" s="41"/>
      <c r="K58" s="41"/>
      <c r="L58" s="41"/>
      <c r="M58" s="41"/>
    </row>
    <row r="60" spans="1:13" ht="20">
      <c r="A60" s="16" t="s">
        <v>197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>
      <c r="A62" s="110" t="s">
        <v>234</v>
      </c>
      <c r="B62" s="110"/>
      <c r="C62" s="114"/>
      <c r="D62" s="110"/>
      <c r="E62" s="110"/>
      <c r="F62" s="110"/>
      <c r="G62" s="110"/>
      <c r="H62" s="110"/>
      <c r="I62" s="110"/>
      <c r="J62" s="110"/>
      <c r="K62" s="110"/>
      <c r="L62" s="110"/>
      <c r="M62" s="110"/>
    </row>
    <row r="63" spans="1:13" outlineLevel="1">
      <c r="A63" s="67" t="s">
        <v>178</v>
      </c>
      <c r="B63" s="67"/>
      <c r="C63" s="134"/>
      <c r="D63" s="145">
        <v>1</v>
      </c>
      <c r="E63" s="67">
        <f t="shared" ref="E63:M63" si="2">D63+1</f>
        <v>2</v>
      </c>
      <c r="F63" s="67">
        <f t="shared" si="2"/>
        <v>3</v>
      </c>
      <c r="G63" s="67">
        <f t="shared" si="2"/>
        <v>4</v>
      </c>
      <c r="H63" s="67">
        <f t="shared" si="2"/>
        <v>5</v>
      </c>
      <c r="I63" s="67">
        <f t="shared" si="2"/>
        <v>6</v>
      </c>
      <c r="J63" s="67">
        <f t="shared" si="2"/>
        <v>7</v>
      </c>
      <c r="K63" s="67">
        <f t="shared" si="2"/>
        <v>8</v>
      </c>
      <c r="L63" s="67">
        <f t="shared" si="2"/>
        <v>9</v>
      </c>
      <c r="M63" s="67">
        <f t="shared" si="2"/>
        <v>10</v>
      </c>
    </row>
    <row r="64" spans="1:13" outlineLevel="1">
      <c r="D64" s="107" t="s">
        <v>172</v>
      </c>
      <c r="E64" s="107" t="s">
        <v>1</v>
      </c>
      <c r="F64" s="107" t="s">
        <v>151</v>
      </c>
      <c r="G64" s="107" t="s">
        <v>173</v>
      </c>
      <c r="H64" s="107" t="s">
        <v>174</v>
      </c>
      <c r="I64" s="107" t="s">
        <v>121</v>
      </c>
      <c r="J64" s="107" t="s">
        <v>121</v>
      </c>
      <c r="K64" s="107" t="s">
        <v>121</v>
      </c>
      <c r="L64" s="107" t="s">
        <v>177</v>
      </c>
      <c r="M64" s="107" t="s">
        <v>176</v>
      </c>
    </row>
    <row r="65" spans="1:13" outlineLevel="1">
      <c r="D65" s="141">
        <f>'Acquirer Model'!O4</f>
        <v>42840</v>
      </c>
      <c r="E65" s="141">
        <f>'Target Model'!O4</f>
        <v>42840</v>
      </c>
      <c r="F65" s="26"/>
      <c r="G65" s="26"/>
      <c r="H65" s="152" t="s">
        <v>6</v>
      </c>
      <c r="I65" s="152" t="s">
        <v>226</v>
      </c>
      <c r="J65" s="152" t="s">
        <v>227</v>
      </c>
      <c r="K65" s="152" t="s">
        <v>228</v>
      </c>
      <c r="L65" s="26"/>
      <c r="M65" s="142">
        <f>D11</f>
        <v>42840</v>
      </c>
    </row>
    <row r="66" spans="1:13" outlineLevel="1">
      <c r="A66" s="21" t="s">
        <v>41</v>
      </c>
    </row>
    <row r="67" spans="1:13" outlineLevel="1">
      <c r="A67" s="8" t="s">
        <v>42</v>
      </c>
      <c r="C67" s="8"/>
      <c r="D67" s="131">
        <f>'Acquirer Model'!O81</f>
        <v>142940.44792049919</v>
      </c>
      <c r="E67" s="131">
        <f>'Target Model'!O81</f>
        <v>64450.797379479132</v>
      </c>
      <c r="F67" s="103"/>
      <c r="G67" s="53">
        <f>SUM(E67:F67)</f>
        <v>64450.797379479132</v>
      </c>
      <c r="H67" s="103">
        <f>-M38</f>
        <v>-242187.5</v>
      </c>
      <c r="I67" s="103">
        <f>H40</f>
        <v>175000</v>
      </c>
      <c r="J67" s="103">
        <f>-M42-M43-M44</f>
        <v>-22859.375</v>
      </c>
      <c r="K67" s="103">
        <f>K79</f>
        <v>-16801.075268817203</v>
      </c>
      <c r="L67" s="53">
        <f>G67+SUM(H67:K67)</f>
        <v>-42397.152889338075</v>
      </c>
      <c r="M67" s="8">
        <f>D67+L67</f>
        <v>100543.29503116112</v>
      </c>
    </row>
    <row r="68" spans="1:13" outlineLevel="1">
      <c r="A68" s="8" t="s">
        <v>43</v>
      </c>
      <c r="C68" s="8"/>
      <c r="D68" s="131">
        <f>'Acquirer Model'!O82</f>
        <v>8245.074514285714</v>
      </c>
      <c r="E68" s="131">
        <f>'Target Model'!O82</f>
        <v>5900.1864866018086</v>
      </c>
      <c r="F68" s="103"/>
      <c r="G68" s="53">
        <f t="shared" ref="G68:G69" si="3">SUM(E68:F68)</f>
        <v>5900.1864866018086</v>
      </c>
      <c r="H68" s="103"/>
      <c r="I68" s="103"/>
      <c r="J68" s="103"/>
      <c r="K68" s="103"/>
      <c r="L68" s="53">
        <f t="shared" ref="L68:L69" si="4">G68+SUM(H68:K68)</f>
        <v>5900.1864866018086</v>
      </c>
      <c r="M68" s="8">
        <f t="shared" ref="M68:M69" si="5">D68+L68</f>
        <v>14145.261000887524</v>
      </c>
    </row>
    <row r="69" spans="1:13" outlineLevel="1">
      <c r="A69" s="8" t="s">
        <v>44</v>
      </c>
      <c r="C69" s="8"/>
      <c r="D69" s="131">
        <f>'Acquirer Model'!O83</f>
        <v>15390.805760000001</v>
      </c>
      <c r="E69" s="131">
        <f>'Target Model'!O83</f>
        <v>8447.9942876344066</v>
      </c>
      <c r="F69" s="103">
        <f>F51</f>
        <v>1201.0218462846533</v>
      </c>
      <c r="G69" s="53">
        <f t="shared" si="3"/>
        <v>9649.0161339190599</v>
      </c>
      <c r="H69" s="103"/>
      <c r="I69" s="103"/>
      <c r="J69" s="103"/>
      <c r="K69" s="103"/>
      <c r="L69" s="53">
        <f t="shared" si="4"/>
        <v>9649.0161339190599</v>
      </c>
      <c r="M69" s="8">
        <f t="shared" si="5"/>
        <v>25039.821893919063</v>
      </c>
    </row>
    <row r="70" spans="1:13" outlineLevel="1">
      <c r="A70" s="27" t="s">
        <v>152</v>
      </c>
      <c r="B70" s="27"/>
      <c r="C70" s="27"/>
      <c r="D70" s="27">
        <f>SUM(D67:D69)</f>
        <v>166576.3281947849</v>
      </c>
      <c r="E70" s="27">
        <f>SUM(E67:E69)</f>
        <v>78798.978153715347</v>
      </c>
      <c r="F70" s="136"/>
      <c r="G70" s="96"/>
      <c r="H70" s="136"/>
      <c r="I70" s="136"/>
      <c r="J70" s="136"/>
      <c r="K70" s="136"/>
      <c r="L70" s="27">
        <f t="shared" ref="L70:M70" si="6">SUM(L67:L69)</f>
        <v>-26847.950268817207</v>
      </c>
      <c r="M70" s="27">
        <f t="shared" si="6"/>
        <v>139728.37792596771</v>
      </c>
    </row>
    <row r="71" spans="1:13" outlineLevel="1">
      <c r="A71" s="8" t="s">
        <v>45</v>
      </c>
      <c r="C71" s="8"/>
      <c r="D71" s="131">
        <f>'Acquirer Model'!O85</f>
        <v>39694.829100000003</v>
      </c>
      <c r="E71" s="131">
        <f>'Target Model'!O85</f>
        <v>21461.871135752688</v>
      </c>
      <c r="F71" s="103">
        <f>F52</f>
        <v>8538.1288642473119</v>
      </c>
      <c r="G71" s="53">
        <f>SUM(E71:F71)</f>
        <v>30000</v>
      </c>
      <c r="H71" s="103"/>
      <c r="I71" s="103"/>
      <c r="J71" s="103"/>
      <c r="K71" s="103"/>
      <c r="L71" s="53">
        <f t="shared" ref="L71:L72" si="7">G71+SUM(H71:K71)</f>
        <v>30000</v>
      </c>
      <c r="M71" s="8">
        <f t="shared" ref="M71:M72" si="8">D71+L71</f>
        <v>69694.829100000003</v>
      </c>
    </row>
    <row r="72" spans="1:13" outlineLevel="1">
      <c r="A72" s="8" t="s">
        <v>175</v>
      </c>
      <c r="C72" s="8"/>
      <c r="D72" s="131">
        <f>'Acquirer Model'!O86</f>
        <v>0</v>
      </c>
      <c r="E72" s="131">
        <f>'Target Model'!O86</f>
        <v>0</v>
      </c>
      <c r="F72" s="103"/>
      <c r="G72" s="53">
        <f>SUM(E72:F72)</f>
        <v>0</v>
      </c>
      <c r="H72" s="103">
        <f>M57</f>
        <v>395569.03229838709</v>
      </c>
      <c r="I72" s="103"/>
      <c r="J72" s="103"/>
      <c r="K72" s="103"/>
      <c r="L72" s="53">
        <f t="shared" si="7"/>
        <v>395569.03229838709</v>
      </c>
      <c r="M72" s="8">
        <f t="shared" si="8"/>
        <v>395569.03229838709</v>
      </c>
    </row>
    <row r="73" spans="1:13" ht="17" outlineLevel="1" thickBot="1">
      <c r="A73" s="59" t="s">
        <v>46</v>
      </c>
      <c r="B73" s="59"/>
      <c r="C73" s="59"/>
      <c r="D73" s="59">
        <f>SUM(D70:D72)</f>
        <v>206271.15729478491</v>
      </c>
      <c r="E73" s="59">
        <f>SUM(E70:E72)</f>
        <v>100260.84928946804</v>
      </c>
      <c r="F73" s="137"/>
      <c r="G73" s="132"/>
      <c r="H73" s="137"/>
      <c r="I73" s="137"/>
      <c r="J73" s="137"/>
      <c r="K73" s="137"/>
      <c r="L73" s="59">
        <f t="shared" ref="L73:M73" si="9">SUM(L70:L72)</f>
        <v>398721.08202956989</v>
      </c>
      <c r="M73" s="59">
        <f t="shared" si="9"/>
        <v>604992.2393243548</v>
      </c>
    </row>
    <row r="74" spans="1:13" ht="17" outlineLevel="1" thickTop="1">
      <c r="A74" s="41"/>
      <c r="B74" s="41"/>
      <c r="C74" s="41"/>
      <c r="D74" s="41"/>
      <c r="E74" s="41"/>
      <c r="F74" s="138"/>
      <c r="G74" s="133"/>
      <c r="H74" s="138"/>
      <c r="I74" s="138"/>
      <c r="J74" s="138"/>
      <c r="K74" s="138"/>
      <c r="L74" s="133"/>
      <c r="M74" s="41"/>
    </row>
    <row r="75" spans="1:13" outlineLevel="1">
      <c r="A75" s="21" t="s">
        <v>47</v>
      </c>
      <c r="B75" s="21"/>
      <c r="C75" s="21"/>
      <c r="D75" s="21"/>
      <c r="E75" s="21"/>
      <c r="F75" s="139"/>
      <c r="G75" s="47"/>
      <c r="H75" s="139"/>
      <c r="I75" s="139"/>
      <c r="J75" s="139"/>
      <c r="K75" s="139"/>
      <c r="L75" s="47"/>
      <c r="M75" s="21"/>
    </row>
    <row r="76" spans="1:13" outlineLevel="1">
      <c r="A76" s="8" t="s">
        <v>153</v>
      </c>
      <c r="C76" s="8"/>
      <c r="D76" s="131">
        <f>'Acquirer Model'!O90</f>
        <v>0</v>
      </c>
      <c r="E76" s="131">
        <f>'Target Model'!O90</f>
        <v>0</v>
      </c>
      <c r="F76" s="103"/>
      <c r="G76" s="53">
        <f>SUM(E76:F76)</f>
        <v>0</v>
      </c>
      <c r="H76" s="103">
        <f>-E76</f>
        <v>0</v>
      </c>
      <c r="I76" s="103"/>
      <c r="J76" s="103"/>
      <c r="K76" s="103"/>
      <c r="L76" s="53">
        <f t="shared" ref="L76:L77" si="10">G76+SUM(H76:K76)</f>
        <v>0</v>
      </c>
      <c r="M76" s="8">
        <f t="shared" ref="M76:M77" si="11">D76+L76</f>
        <v>0</v>
      </c>
    </row>
    <row r="77" spans="1:13" outlineLevel="1">
      <c r="A77" s="8" t="s">
        <v>48</v>
      </c>
      <c r="C77" s="8"/>
      <c r="D77" s="131">
        <f>'Acquirer Model'!O91</f>
        <v>7118.2476640000004</v>
      </c>
      <c r="E77" s="131">
        <f>'Target Model'!O91</f>
        <v>4392.9570295698913</v>
      </c>
      <c r="F77" s="103"/>
      <c r="G77" s="53">
        <f>SUM(E77:F77)</f>
        <v>4392.9570295698913</v>
      </c>
      <c r="H77" s="103"/>
      <c r="I77" s="103"/>
      <c r="J77" s="103"/>
      <c r="K77" s="103"/>
      <c r="L77" s="53">
        <f t="shared" si="10"/>
        <v>4392.9570295698913</v>
      </c>
      <c r="M77" s="8">
        <f t="shared" si="11"/>
        <v>11511.204693569893</v>
      </c>
    </row>
    <row r="78" spans="1:13" outlineLevel="1">
      <c r="A78" s="27" t="s">
        <v>155</v>
      </c>
      <c r="B78" s="27"/>
      <c r="C78" s="27"/>
      <c r="D78" s="27">
        <f>SUM(D76:D77)</f>
        <v>7118.2476640000004</v>
      </c>
      <c r="E78" s="27">
        <f>SUM(E76:E77)</f>
        <v>4392.9570295698913</v>
      </c>
      <c r="F78" s="136"/>
      <c r="G78" s="96"/>
      <c r="H78" s="136"/>
      <c r="I78" s="136"/>
      <c r="J78" s="136"/>
      <c r="K78" s="136"/>
      <c r="L78" s="27">
        <f t="shared" ref="L78:M78" si="12">SUM(L76:L77)</f>
        <v>4392.9570295698913</v>
      </c>
      <c r="M78" s="27">
        <f t="shared" si="12"/>
        <v>11511.204693569893</v>
      </c>
    </row>
    <row r="79" spans="1:13" outlineLevel="1">
      <c r="A79" s="8" t="s">
        <v>154</v>
      </c>
      <c r="C79" s="8"/>
      <c r="D79" s="131">
        <f>'Acquirer Model'!O93</f>
        <v>30000</v>
      </c>
      <c r="E79" s="131">
        <f>'Target Model'!O93</f>
        <v>16801.075268817203</v>
      </c>
      <c r="F79" s="103"/>
      <c r="G79" s="53">
        <f>SUM(E79:F79)</f>
        <v>16801.075268817203</v>
      </c>
      <c r="H79" s="103"/>
      <c r="I79" s="103">
        <f>H40</f>
        <v>175000</v>
      </c>
      <c r="J79" s="103"/>
      <c r="K79" s="103">
        <f>-M40-M41</f>
        <v>-16801.075268817203</v>
      </c>
      <c r="L79" s="53">
        <f>G79+SUM(H79:K79)</f>
        <v>175000</v>
      </c>
      <c r="M79" s="8">
        <f>D79+L79</f>
        <v>205000</v>
      </c>
    </row>
    <row r="80" spans="1:13" outlineLevel="1">
      <c r="A80" s="27" t="s">
        <v>49</v>
      </c>
      <c r="B80" s="27"/>
      <c r="C80" s="27"/>
      <c r="D80" s="27">
        <f>SUM(D78:D79)</f>
        <v>37118.247664000002</v>
      </c>
      <c r="E80" s="27">
        <f>SUM(E78:E79)</f>
        <v>21194.032298387094</v>
      </c>
      <c r="F80" s="136"/>
      <c r="G80" s="96"/>
      <c r="H80" s="136"/>
      <c r="I80" s="136"/>
      <c r="J80" s="136"/>
      <c r="K80" s="136"/>
      <c r="L80" s="27">
        <f t="shared" ref="L80:M80" si="13">SUM(L78:L79)</f>
        <v>179392.95702956989</v>
      </c>
      <c r="M80" s="27">
        <f t="shared" si="13"/>
        <v>216511.20469356989</v>
      </c>
    </row>
    <row r="81" spans="1:13" outlineLevel="1">
      <c r="A81" s="21" t="s">
        <v>50</v>
      </c>
      <c r="B81" s="21"/>
      <c r="C81" s="21"/>
      <c r="D81" s="21"/>
      <c r="E81" s="21"/>
      <c r="F81" s="139"/>
      <c r="G81" s="47"/>
      <c r="H81" s="139"/>
      <c r="I81" s="139"/>
      <c r="J81" s="139"/>
      <c r="K81" s="139"/>
      <c r="L81" s="47"/>
      <c r="M81" s="21"/>
    </row>
    <row r="82" spans="1:13" outlineLevel="1">
      <c r="A82" s="8" t="s">
        <v>51</v>
      </c>
      <c r="C82" s="8"/>
      <c r="D82" s="131">
        <f>'Acquirer Model'!O96</f>
        <v>70000</v>
      </c>
      <c r="E82" s="131">
        <f>'Target Model'!O96</f>
        <v>39202.508960573476</v>
      </c>
      <c r="F82" s="103"/>
      <c r="G82" s="53">
        <f>SUM(E82:F82)</f>
        <v>39202.508960573476</v>
      </c>
      <c r="H82" s="103">
        <f>-E82</f>
        <v>-39202.508960573476</v>
      </c>
      <c r="I82" s="103">
        <f>M39</f>
        <v>242187.5</v>
      </c>
      <c r="J82" s="103"/>
      <c r="K82" s="103"/>
      <c r="L82" s="53">
        <f t="shared" ref="L82:L83" si="14">G82+SUM(H82:K82)</f>
        <v>242187.5</v>
      </c>
      <c r="M82" s="8">
        <f t="shared" ref="M82:M83" si="15">D82+L82</f>
        <v>312187.5</v>
      </c>
    </row>
    <row r="83" spans="1:13" outlineLevel="1">
      <c r="A83" s="8" t="s">
        <v>52</v>
      </c>
      <c r="C83" s="8"/>
      <c r="D83" s="131">
        <f>'Acquirer Model'!O97</f>
        <v>99152.909630784896</v>
      </c>
      <c r="E83" s="131">
        <f>'Target Model'!O97</f>
        <v>39864.308030507455</v>
      </c>
      <c r="F83" s="103"/>
      <c r="G83" s="53">
        <f>SUM(E83:F83)</f>
        <v>39864.308030507455</v>
      </c>
      <c r="H83" s="103">
        <f>-E83</f>
        <v>-39864.308030507455</v>
      </c>
      <c r="I83" s="103"/>
      <c r="J83" s="103">
        <f>J67</f>
        <v>-22859.375</v>
      </c>
      <c r="K83" s="103"/>
      <c r="L83" s="53">
        <f t="shared" si="14"/>
        <v>-22859.375</v>
      </c>
      <c r="M83" s="8">
        <f t="shared" si="15"/>
        <v>76293.534630784896</v>
      </c>
    </row>
    <row r="84" spans="1:13" outlineLevel="1">
      <c r="A84" s="64" t="s">
        <v>50</v>
      </c>
      <c r="B84" s="64"/>
      <c r="C84" s="64"/>
      <c r="D84" s="64">
        <f>SUM(D82:D83)</f>
        <v>169152.90963078488</v>
      </c>
      <c r="E84" s="64">
        <f>SUM(E82:E83)</f>
        <v>79066.816991080937</v>
      </c>
      <c r="F84" s="140"/>
      <c r="G84" s="64"/>
      <c r="H84" s="140"/>
      <c r="I84" s="140"/>
      <c r="J84" s="140"/>
      <c r="K84" s="140"/>
      <c r="L84" s="64">
        <f>SUM(L82:L83)</f>
        <v>219328.125</v>
      </c>
      <c r="M84" s="64">
        <f>SUM(M82:M83)</f>
        <v>388481.03463078488</v>
      </c>
    </row>
    <row r="85" spans="1:13" ht="17" outlineLevel="1" thickBot="1">
      <c r="A85" s="59" t="s">
        <v>53</v>
      </c>
      <c r="B85" s="59"/>
      <c r="C85" s="59"/>
      <c r="D85" s="59">
        <f>D80+D84</f>
        <v>206271.15729478488</v>
      </c>
      <c r="E85" s="59">
        <f>E80+E84</f>
        <v>100260.84928946802</v>
      </c>
      <c r="F85" s="137"/>
      <c r="G85" s="59"/>
      <c r="H85" s="137"/>
      <c r="I85" s="137"/>
      <c r="J85" s="137"/>
      <c r="K85" s="137"/>
      <c r="L85" s="59">
        <f>L80+L84</f>
        <v>398721.08202956989</v>
      </c>
      <c r="M85" s="59">
        <f>M80+M84</f>
        <v>604992.2393243548</v>
      </c>
    </row>
    <row r="86" spans="1:13" ht="17" outlineLevel="1" thickTop="1"/>
    <row r="87" spans="1:13" outlineLevel="1">
      <c r="A87" s="67" t="s">
        <v>54</v>
      </c>
      <c r="B87" s="67"/>
      <c r="C87" s="134"/>
      <c r="D87" s="135">
        <f>D85-D73</f>
        <v>0</v>
      </c>
      <c r="E87" s="135">
        <f>E85-E73</f>
        <v>0</v>
      </c>
      <c r="F87" s="67"/>
      <c r="G87" s="67"/>
      <c r="H87" s="67"/>
      <c r="I87" s="67"/>
      <c r="L87" s="135">
        <f>L85-L73</f>
        <v>0</v>
      </c>
      <c r="M87" s="135">
        <f>M85-M73</f>
        <v>0</v>
      </c>
    </row>
    <row r="88" spans="1:13" outlineLevel="1"/>
    <row r="90" spans="1:13" ht="20">
      <c r="A90" s="304" t="s">
        <v>237</v>
      </c>
      <c r="B90" s="305"/>
      <c r="C90" s="306"/>
      <c r="D90" s="305"/>
      <c r="E90" s="305"/>
      <c r="F90" s="305"/>
      <c r="G90" s="305"/>
      <c r="H90" s="305"/>
      <c r="I90" s="305"/>
      <c r="J90" s="305"/>
      <c r="K90" s="305"/>
      <c r="L90" s="305"/>
      <c r="M90" s="305"/>
    </row>
    <row r="91" spans="1:13">
      <c r="G91" s="98"/>
    </row>
    <row r="92" spans="1:13" ht="21">
      <c r="B92" s="307"/>
      <c r="I92" s="308">
        <v>2018</v>
      </c>
      <c r="J92" s="308">
        <v>2019</v>
      </c>
      <c r="K92" s="308">
        <v>2020</v>
      </c>
      <c r="L92" s="308">
        <v>2021</v>
      </c>
      <c r="M92" s="308">
        <v>2022</v>
      </c>
    </row>
    <row r="93" spans="1:13">
      <c r="A93" s="26"/>
      <c r="B93" s="26"/>
      <c r="C93" s="70"/>
      <c r="D93" s="26"/>
      <c r="E93" s="26"/>
      <c r="F93" s="26"/>
      <c r="G93" s="309"/>
      <c r="H93" s="26"/>
      <c r="I93" s="26"/>
      <c r="J93" s="26"/>
      <c r="K93" s="26"/>
      <c r="L93" s="26"/>
      <c r="M93" s="26"/>
    </row>
    <row r="94" spans="1:13" ht="19">
      <c r="A94" s="139" t="s">
        <v>238</v>
      </c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</row>
    <row r="95" spans="1:13">
      <c r="A95" s="8" t="s">
        <v>239</v>
      </c>
      <c r="I95" s="131">
        <f>'Acquirer Model'!J75</f>
        <v>33098.601599999995</v>
      </c>
      <c r="J95" s="131">
        <f>'Acquirer Model'!K75</f>
        <v>37484.311017600005</v>
      </c>
      <c r="K95" s="131">
        <f>'Acquirer Model'!L75</f>
        <v>40290.104328768008</v>
      </c>
      <c r="L95" s="131">
        <f>'Acquirer Model'!M75</f>
        <v>42824.292575074571</v>
      </c>
      <c r="M95" s="131">
        <f>'Acquirer Model'!N75</f>
        <v>46787.531481800179</v>
      </c>
    </row>
    <row r="96" spans="1:13">
      <c r="A96" s="8" t="s">
        <v>240</v>
      </c>
      <c r="I96" s="131">
        <f>'Target Model'!J75</f>
        <v>23909.776090949821</v>
      </c>
      <c r="J96" s="131">
        <f>'Target Model'!K75</f>
        <v>28510.130140501788</v>
      </c>
      <c r="K96" s="131">
        <f>'Target Model'!L75</f>
        <v>32117.515928745517</v>
      </c>
      <c r="L96" s="131">
        <f>'Target Model'!M75</f>
        <v>35302.790093081014</v>
      </c>
      <c r="M96" s="131">
        <f>'Target Model'!N75</f>
        <v>38427.939633260845</v>
      </c>
    </row>
    <row r="97" spans="1:13">
      <c r="A97" s="8" t="s">
        <v>241</v>
      </c>
      <c r="I97" s="131">
        <f>'Pro Forma Model'!J45</f>
        <v>51443.265863977162</v>
      </c>
      <c r="J97" s="131">
        <f>'Pro Forma Model'!K45</f>
        <v>62004.39263051506</v>
      </c>
      <c r="K97" s="131">
        <f>'Pro Forma Model'!L45</f>
        <v>72767.124832939371</v>
      </c>
      <c r="L97" s="131">
        <f>'Pro Forma Model'!M45</f>
        <v>78428.491439148347</v>
      </c>
      <c r="M97" s="131">
        <f>'Pro Forma Model'!N45</f>
        <v>85444.097102788801</v>
      </c>
    </row>
    <row r="99" spans="1:13">
      <c r="A99" s="8" t="s">
        <v>242</v>
      </c>
      <c r="I99" s="8">
        <f>$D$23</f>
        <v>50000</v>
      </c>
      <c r="J99" s="8">
        <f t="shared" ref="J99:M99" si="16">$D$23</f>
        <v>50000</v>
      </c>
      <c r="K99" s="8">
        <f t="shared" si="16"/>
        <v>50000</v>
      </c>
      <c r="L99" s="8">
        <f t="shared" si="16"/>
        <v>50000</v>
      </c>
      <c r="M99" s="8">
        <f t="shared" si="16"/>
        <v>50000</v>
      </c>
    </row>
    <row r="100" spans="1:13">
      <c r="A100" s="8" t="s">
        <v>243</v>
      </c>
      <c r="I100" s="8">
        <f>$D$24</f>
        <v>25000</v>
      </c>
      <c r="J100" s="8">
        <f t="shared" ref="J100:M100" si="17">$D$24</f>
        <v>25000</v>
      </c>
      <c r="K100" s="8">
        <f t="shared" si="17"/>
        <v>25000</v>
      </c>
      <c r="L100" s="8">
        <f t="shared" si="17"/>
        <v>25000</v>
      </c>
      <c r="M100" s="8">
        <f t="shared" si="17"/>
        <v>25000</v>
      </c>
    </row>
    <row r="101" spans="1:13">
      <c r="A101" s="8" t="s">
        <v>244</v>
      </c>
      <c r="I101" s="8">
        <f>$D$26</f>
        <v>69010.007849293557</v>
      </c>
      <c r="J101" s="8">
        <f t="shared" ref="J101:M101" si="18">$D$26</f>
        <v>69010.007849293557</v>
      </c>
      <c r="K101" s="8">
        <f t="shared" si="18"/>
        <v>69010.007849293557</v>
      </c>
      <c r="L101" s="8">
        <f t="shared" si="18"/>
        <v>69010.007849293557</v>
      </c>
      <c r="M101" s="8">
        <f t="shared" si="18"/>
        <v>69010.007849293557</v>
      </c>
    </row>
    <row r="103" spans="1:13">
      <c r="A103" s="8" t="s">
        <v>245</v>
      </c>
      <c r="I103" s="93">
        <f>I95/I99</f>
        <v>0.66197203199999988</v>
      </c>
      <c r="J103" s="93">
        <f t="shared" ref="J103:M103" si="19">J95/J99</f>
        <v>0.74968622035200005</v>
      </c>
      <c r="K103" s="93">
        <f t="shared" si="19"/>
        <v>0.80580208657536012</v>
      </c>
      <c r="L103" s="93">
        <f t="shared" si="19"/>
        <v>0.85648585150149137</v>
      </c>
      <c r="M103" s="93">
        <f t="shared" si="19"/>
        <v>0.93575062963600353</v>
      </c>
    </row>
    <row r="104" spans="1:13">
      <c r="A104" s="8" t="s">
        <v>246</v>
      </c>
      <c r="I104" s="93">
        <f>I96/I100</f>
        <v>0.95639104363799288</v>
      </c>
      <c r="J104" s="93">
        <f t="shared" ref="J104:M104" si="20">J96/J100</f>
        <v>1.1404052056200715</v>
      </c>
      <c r="K104" s="93">
        <f t="shared" si="20"/>
        <v>1.2847006371498206</v>
      </c>
      <c r="L104" s="93">
        <f t="shared" si="20"/>
        <v>1.4121116037232406</v>
      </c>
      <c r="M104" s="93">
        <f t="shared" si="20"/>
        <v>1.5371175853304337</v>
      </c>
    </row>
    <row r="105" spans="1:13">
      <c r="A105" s="8" t="s">
        <v>247</v>
      </c>
      <c r="I105" s="93">
        <f>I97/I101</f>
        <v>0.74544645721995495</v>
      </c>
      <c r="J105" s="93">
        <f t="shared" ref="J105:M105" si="21">J97/J101</f>
        <v>0.89848406865743879</v>
      </c>
      <c r="K105" s="93">
        <f t="shared" si="21"/>
        <v>1.0544430742835262</v>
      </c>
      <c r="L105" s="93">
        <f t="shared" si="21"/>
        <v>1.1364799669407835</v>
      </c>
      <c r="M105" s="93">
        <f t="shared" si="21"/>
        <v>1.2381406663419685</v>
      </c>
    </row>
    <row r="107" spans="1:13">
      <c r="A107" s="311" t="s">
        <v>248</v>
      </c>
      <c r="B107" s="64"/>
      <c r="C107" s="65"/>
      <c r="D107" s="64"/>
      <c r="E107" s="64"/>
      <c r="F107" s="64"/>
      <c r="G107" s="64"/>
      <c r="H107" s="64"/>
      <c r="I107" s="312">
        <f>I105/I103-1</f>
        <v>0.12609962533878627</v>
      </c>
      <c r="J107" s="312">
        <f t="shared" ref="J107:M107" si="22">J105/J103-1</f>
        <v>0.19848016979100103</v>
      </c>
      <c r="K107" s="312">
        <f t="shared" si="22"/>
        <v>0.30856334557891807</v>
      </c>
      <c r="L107" s="312">
        <f t="shared" si="22"/>
        <v>0.32691038030393504</v>
      </c>
      <c r="M107" s="312">
        <f t="shared" si="22"/>
        <v>0.32315237321677381</v>
      </c>
    </row>
    <row r="108" spans="1:13">
      <c r="I108" s="313"/>
      <c r="J108" s="313"/>
      <c r="K108" s="313"/>
      <c r="L108" s="313"/>
      <c r="M108" s="313"/>
    </row>
    <row r="109" spans="1:13" ht="19">
      <c r="A109" s="139" t="s">
        <v>249</v>
      </c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</row>
    <row r="110" spans="1:13">
      <c r="A110" s="8" t="s">
        <v>250</v>
      </c>
      <c r="I110" s="131">
        <f>'Acquirer Model'!J110</f>
        <v>38099.324112876711</v>
      </c>
      <c r="J110" s="131">
        <f>'Acquirer Model'!K110</f>
        <v>42937.720463517806</v>
      </c>
      <c r="K110" s="131">
        <f>'Acquirer Model'!L110</f>
        <v>48888.281031119011</v>
      </c>
      <c r="L110" s="131">
        <f>'Acquirer Model'!M110</f>
        <v>52048.228009667699</v>
      </c>
      <c r="M110" s="131">
        <f>'Acquirer Model'!N110</f>
        <v>57202.842683973664</v>
      </c>
    </row>
    <row r="111" spans="1:13">
      <c r="A111" s="8" t="s">
        <v>251</v>
      </c>
      <c r="I111" s="131">
        <f>'Target Model'!J110</f>
        <v>28274.493033184812</v>
      </c>
      <c r="J111" s="131">
        <f>'Target Model'!K110</f>
        <v>32190.447188054197</v>
      </c>
      <c r="K111" s="131">
        <f>'Target Model'!L110</f>
        <v>35998.424560021434</v>
      </c>
      <c r="L111" s="131">
        <f>'Target Model'!M110</f>
        <v>39408.640605702574</v>
      </c>
      <c r="M111" s="131">
        <f>'Target Model'!N110</f>
        <v>42879.543661297648</v>
      </c>
    </row>
    <row r="112" spans="1:13">
      <c r="A112" s="8" t="s">
        <v>252</v>
      </c>
      <c r="I112" s="131">
        <f>'Pro Forma Model'!J80</f>
        <v>60885.017881055392</v>
      </c>
      <c r="J112" s="131">
        <f>'Pro Forma Model'!K80</f>
        <v>70666.05649322331</v>
      </c>
      <c r="K112" s="131">
        <f>'Pro Forma Model'!L80</f>
        <v>85747.065607113356</v>
      </c>
      <c r="L112" s="131">
        <f>'Pro Forma Model'!M80</f>
        <v>92004.940923219139</v>
      </c>
      <c r="M112" s="131">
        <f>'Pro Forma Model'!N80</f>
        <v>100635.17682298887</v>
      </c>
    </row>
    <row r="114" spans="1:13">
      <c r="A114" s="8" t="s">
        <v>242</v>
      </c>
      <c r="I114" s="8">
        <f>$D$23</f>
        <v>50000</v>
      </c>
      <c r="J114" s="8">
        <f t="shared" ref="J114:M114" si="23">$D$23</f>
        <v>50000</v>
      </c>
      <c r="K114" s="8">
        <f t="shared" si="23"/>
        <v>50000</v>
      </c>
      <c r="L114" s="8">
        <f t="shared" si="23"/>
        <v>50000</v>
      </c>
      <c r="M114" s="8">
        <f t="shared" si="23"/>
        <v>50000</v>
      </c>
    </row>
    <row r="115" spans="1:13">
      <c r="A115" s="8" t="s">
        <v>243</v>
      </c>
      <c r="I115" s="8">
        <f>$D$24</f>
        <v>25000</v>
      </c>
      <c r="J115" s="8">
        <f t="shared" ref="J115:M115" si="24">$D$24</f>
        <v>25000</v>
      </c>
      <c r="K115" s="8">
        <f t="shared" si="24"/>
        <v>25000</v>
      </c>
      <c r="L115" s="8">
        <f t="shared" si="24"/>
        <v>25000</v>
      </c>
      <c r="M115" s="8">
        <f t="shared" si="24"/>
        <v>25000</v>
      </c>
    </row>
    <row r="116" spans="1:13">
      <c r="A116" s="8" t="s">
        <v>244</v>
      </c>
      <c r="I116" s="8">
        <f>$D$26</f>
        <v>69010.007849293557</v>
      </c>
      <c r="J116" s="8">
        <f t="shared" ref="J116:M116" si="25">$D$26</f>
        <v>69010.007849293557</v>
      </c>
      <c r="K116" s="8">
        <f t="shared" si="25"/>
        <v>69010.007849293557</v>
      </c>
      <c r="L116" s="8">
        <f t="shared" si="25"/>
        <v>69010.007849293557</v>
      </c>
      <c r="M116" s="8">
        <f t="shared" si="25"/>
        <v>69010.007849293557</v>
      </c>
    </row>
    <row r="118" spans="1:13">
      <c r="A118" s="8" t="s">
        <v>253</v>
      </c>
      <c r="I118" s="93">
        <f>I110/I114</f>
        <v>0.76198648225753418</v>
      </c>
      <c r="J118" s="93">
        <f t="shared" ref="J118:M118" si="26">J110/J114</f>
        <v>0.85875440927035607</v>
      </c>
      <c r="K118" s="93">
        <f t="shared" si="26"/>
        <v>0.97776562062238026</v>
      </c>
      <c r="L118" s="93">
        <f t="shared" si="26"/>
        <v>1.0409645601933539</v>
      </c>
      <c r="M118" s="93">
        <f t="shared" si="26"/>
        <v>1.1440568536794733</v>
      </c>
    </row>
    <row r="119" spans="1:13">
      <c r="A119" s="8" t="s">
        <v>254</v>
      </c>
      <c r="I119" s="93">
        <f>I111/I115</f>
        <v>1.1309797213273924</v>
      </c>
      <c r="J119" s="93">
        <f t="shared" ref="J119:M119" si="27">J111/J115</f>
        <v>1.2876178875221678</v>
      </c>
      <c r="K119" s="93">
        <f t="shared" si="27"/>
        <v>1.4399369824008574</v>
      </c>
      <c r="L119" s="93">
        <f t="shared" si="27"/>
        <v>1.5763456242281029</v>
      </c>
      <c r="M119" s="93">
        <f t="shared" si="27"/>
        <v>1.7151817464519059</v>
      </c>
    </row>
    <row r="120" spans="1:13">
      <c r="A120" s="8" t="s">
        <v>255</v>
      </c>
      <c r="I120" s="93">
        <f>I112/I116</f>
        <v>0.88226359883943495</v>
      </c>
      <c r="J120" s="93">
        <f t="shared" ref="J120:M120" si="28">J112/J116</f>
        <v>1.0239972243960078</v>
      </c>
      <c r="K120" s="93">
        <f t="shared" si="28"/>
        <v>1.2425308774688268</v>
      </c>
      <c r="L120" s="93">
        <f t="shared" si="28"/>
        <v>1.333211570184758</v>
      </c>
      <c r="M120" s="93">
        <f t="shared" si="28"/>
        <v>1.4582693142530783</v>
      </c>
    </row>
    <row r="122" spans="1:13">
      <c r="A122" s="311" t="s">
        <v>248</v>
      </c>
      <c r="B122" s="64"/>
      <c r="C122" s="65"/>
      <c r="D122" s="64"/>
      <c r="E122" s="64"/>
      <c r="F122" s="64"/>
      <c r="G122" s="64"/>
      <c r="H122" s="64"/>
      <c r="I122" s="312">
        <f>I120/I118-1</f>
        <v>0.15784678518909723</v>
      </c>
      <c r="J122" s="312">
        <f t="shared" ref="J122:M122" si="29">J120/J118-1</f>
        <v>0.19242150414814274</v>
      </c>
      <c r="K122" s="312">
        <f t="shared" si="29"/>
        <v>0.27078601585307815</v>
      </c>
      <c r="L122" s="312">
        <f t="shared" si="29"/>
        <v>0.2807463588742356</v>
      </c>
      <c r="M122" s="312">
        <f t="shared" si="29"/>
        <v>0.27464759252396109</v>
      </c>
    </row>
    <row r="123" spans="1:13">
      <c r="I123" s="313"/>
      <c r="J123" s="313"/>
      <c r="K123" s="313"/>
      <c r="L123" s="313"/>
      <c r="M123" s="313"/>
    </row>
    <row r="125" spans="1:13" ht="20">
      <c r="A125" s="304" t="s">
        <v>256</v>
      </c>
      <c r="B125" s="305"/>
      <c r="C125" s="306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</row>
    <row r="127" spans="1:13">
      <c r="A127" s="314" t="s">
        <v>257</v>
      </c>
      <c r="B127" s="314"/>
      <c r="C127" s="314"/>
      <c r="D127" s="314"/>
      <c r="E127" s="314"/>
      <c r="F127" s="314"/>
      <c r="H127" s="314" t="s">
        <v>258</v>
      </c>
      <c r="I127" s="314"/>
      <c r="J127" s="314"/>
      <c r="K127" s="314"/>
      <c r="L127" s="314"/>
      <c r="M127" s="314"/>
    </row>
    <row r="128" spans="1:13">
      <c r="C128" s="8"/>
      <c r="D128" s="107" t="s">
        <v>133</v>
      </c>
      <c r="E128" s="107" t="s">
        <v>259</v>
      </c>
      <c r="F128" s="107" t="s">
        <v>84</v>
      </c>
      <c r="K128" s="107" t="s">
        <v>260</v>
      </c>
      <c r="L128" s="107" t="s">
        <v>261</v>
      </c>
      <c r="M128" s="107" t="s">
        <v>262</v>
      </c>
    </row>
    <row r="129" spans="1:13">
      <c r="A129" s="26" t="s">
        <v>263</v>
      </c>
      <c r="B129" s="26"/>
      <c r="C129" s="70"/>
      <c r="D129" s="315">
        <f>D35</f>
        <v>19.375</v>
      </c>
      <c r="E129" s="315"/>
      <c r="F129" s="316">
        <f>'Target Model'!C186</f>
        <v>15.256659612330434</v>
      </c>
      <c r="H129" s="27" t="s">
        <v>264</v>
      </c>
      <c r="I129" s="27"/>
      <c r="J129" s="26"/>
      <c r="K129" s="317">
        <f>'Acquirer Model'!C184</f>
        <v>583958.88343578961</v>
      </c>
      <c r="L129" s="317">
        <f>'Pro Forma Model'!C196</f>
        <v>755014.83445468138</v>
      </c>
      <c r="M129" s="318">
        <f>L129/K129-1</f>
        <v>0.29292464909937554</v>
      </c>
    </row>
    <row r="130" spans="1:13">
      <c r="A130" s="21" t="s">
        <v>172</v>
      </c>
      <c r="E130" s="151"/>
      <c r="F130" s="319"/>
      <c r="H130" s="8" t="s">
        <v>42</v>
      </c>
      <c r="K130" s="131">
        <f>'Acquirer Model'!C182</f>
        <v>139549.5203651849</v>
      </c>
      <c r="L130" s="131">
        <f>'Pro Forma Model'!C194</f>
        <v>100543.29503116112</v>
      </c>
      <c r="M130" s="318">
        <f>L130/K130-1</f>
        <v>-0.27951529487130455</v>
      </c>
    </row>
    <row r="131" spans="1:13">
      <c r="A131" s="8" t="s">
        <v>265</v>
      </c>
      <c r="E131" s="151"/>
      <c r="F131" s="319">
        <f>'Acquirer Model'!C186</f>
        <v>11.679177668715793</v>
      </c>
      <c r="H131" s="8" t="s">
        <v>266</v>
      </c>
      <c r="K131" s="131">
        <f>'Acquirer Model'!C183</f>
        <v>30000</v>
      </c>
      <c r="L131" s="131">
        <f>'Pro Forma Model'!C195</f>
        <v>205000</v>
      </c>
      <c r="M131" s="318">
        <f>L131/K131-1</f>
        <v>5.833333333333333</v>
      </c>
    </row>
    <row r="132" spans="1:13">
      <c r="A132" s="8" t="s">
        <v>267</v>
      </c>
      <c r="E132" s="320"/>
      <c r="F132" s="319">
        <f>'Pro Forma Model'!C198</f>
        <v>10.940657130535456</v>
      </c>
      <c r="H132" s="26" t="s">
        <v>104</v>
      </c>
      <c r="I132" s="26"/>
      <c r="J132" s="26"/>
      <c r="K132" s="73">
        <f>K129-K130+K131</f>
        <v>474409.36307060474</v>
      </c>
      <c r="L132" s="73">
        <f>L129-L130+L131</f>
        <v>859471.53942352021</v>
      </c>
      <c r="M132" s="318">
        <f>L132/K132-1</f>
        <v>0.81166647694431782</v>
      </c>
    </row>
    <row r="133" spans="1:13">
      <c r="A133" s="27" t="s">
        <v>268</v>
      </c>
      <c r="B133" s="27"/>
      <c r="C133" s="28"/>
      <c r="D133" s="28"/>
      <c r="E133" s="28"/>
      <c r="F133" s="321">
        <f>F132-F131</f>
        <v>-0.73852053818033703</v>
      </c>
      <c r="M133" s="318"/>
    </row>
    <row r="134" spans="1:13">
      <c r="E134" s="322"/>
      <c r="F134" s="322">
        <f>F133/F131</f>
        <v>-6.3233950122923557E-2</v>
      </c>
      <c r="H134" s="8" t="s">
        <v>87</v>
      </c>
      <c r="K134" s="8">
        <f>D23</f>
        <v>50000</v>
      </c>
      <c r="L134" s="8">
        <f>D26</f>
        <v>69010.007849293557</v>
      </c>
      <c r="M134" s="108">
        <f>L134/K134-1</f>
        <v>0.38020015698587106</v>
      </c>
    </row>
    <row r="135" spans="1:13">
      <c r="H135" s="21" t="s">
        <v>110</v>
      </c>
      <c r="I135" s="21"/>
      <c r="K135" s="323">
        <f>K129/K134</f>
        <v>11.679177668715793</v>
      </c>
      <c r="L135" s="323">
        <f>L129/L134</f>
        <v>10.940657130535456</v>
      </c>
      <c r="M135" s="108">
        <f>L135/K135-1</f>
        <v>-6.3233950122923543E-2</v>
      </c>
    </row>
    <row r="138" spans="1:13">
      <c r="A138" s="314"/>
      <c r="B138" s="314"/>
      <c r="C138" s="314"/>
      <c r="D138" s="314"/>
      <c r="E138" s="314"/>
      <c r="F138" s="314"/>
      <c r="H138" s="314"/>
      <c r="I138" s="314"/>
      <c r="J138" s="314"/>
      <c r="K138" s="314"/>
      <c r="L138" s="314"/>
      <c r="M138" s="314"/>
    </row>
    <row r="139" spans="1:13">
      <c r="A139" s="324"/>
      <c r="B139" s="324"/>
      <c r="C139" s="325"/>
      <c r="D139" s="325"/>
      <c r="E139" s="325"/>
      <c r="F139" s="325"/>
      <c r="H139" s="324"/>
      <c r="I139" s="324"/>
      <c r="J139" s="325"/>
      <c r="K139" s="325"/>
      <c r="L139" s="325"/>
      <c r="M139" s="325"/>
    </row>
    <row r="140" spans="1:13">
      <c r="A140" s="324"/>
      <c r="B140" s="326">
        <f>F134</f>
        <v>-6.3233950122923557E-2</v>
      </c>
      <c r="C140" s="327">
        <v>0.2</v>
      </c>
      <c r="D140" s="328">
        <f>+C140+0.05</f>
        <v>0.25</v>
      </c>
      <c r="E140" s="328">
        <f t="shared" ref="E140:F140" si="30">+D140+0.05</f>
        <v>0.3</v>
      </c>
      <c r="F140" s="328">
        <f t="shared" si="30"/>
        <v>0.35</v>
      </c>
      <c r="H140" s="324"/>
      <c r="I140" s="326">
        <f>J107</f>
        <v>0.19848016979100103</v>
      </c>
      <c r="J140" s="327">
        <v>0.2</v>
      </c>
      <c r="K140" s="328">
        <f>+J140+0.05</f>
        <v>0.25</v>
      </c>
      <c r="L140" s="328">
        <f t="shared" ref="L140:M140" si="31">+K140+0.05</f>
        <v>0.3</v>
      </c>
      <c r="M140" s="328">
        <f t="shared" si="31"/>
        <v>0.35</v>
      </c>
    </row>
    <row r="141" spans="1:13">
      <c r="A141" s="324"/>
      <c r="B141" s="329">
        <v>6500</v>
      </c>
      <c r="C141" s="330">
        <f t="dataTable" ref="C141:F146" dt2D="1" dtr="1" r1="H31" r2="H10"/>
        <v>-4.0035893999329192E-2</v>
      </c>
      <c r="D141" s="330">
        <v>-6.3233950122923557E-2</v>
      </c>
      <c r="E141" s="330">
        <v>-8.5926353216120591E-2</v>
      </c>
      <c r="F141" s="330">
        <v>-0.10812945777979843</v>
      </c>
      <c r="H141" s="324"/>
      <c r="I141" s="331">
        <v>17.5</v>
      </c>
      <c r="J141" s="332">
        <f t="dataTable" ref="J141:M146" dt2D="1" dtr="1" r1="H31" r2="D10" ca="1"/>
        <v>0.17141610258824413</v>
      </c>
      <c r="K141" s="333">
        <v>0.15734334787190285</v>
      </c>
      <c r="L141" s="333">
        <v>0.14360470414122961</v>
      </c>
      <c r="M141" s="333">
        <v>0.13018841244553259</v>
      </c>
    </row>
    <row r="142" spans="1:13">
      <c r="A142" s="324"/>
      <c r="B142" s="334">
        <f>+B141-1000</f>
        <v>5500</v>
      </c>
      <c r="C142" s="335">
        <v>-4.7607743475071802E-2</v>
      </c>
      <c r="D142" s="335">
        <v>-7.0722367689322357E-2</v>
      </c>
      <c r="E142" s="335">
        <v>-9.3333157456490012E-2</v>
      </c>
      <c r="F142" s="335">
        <v>-0.11545640845841934</v>
      </c>
      <c r="H142" s="324"/>
      <c r="I142" s="336">
        <v>18.5</v>
      </c>
      <c r="J142" s="337">
        <v>0.15220206044628259</v>
      </c>
      <c r="K142" s="337">
        <v>0.13781605915165085</v>
      </c>
      <c r="L142" s="337">
        <v>0.12378486524796739</v>
      </c>
      <c r="M142" s="337">
        <v>0.11009551250740834</v>
      </c>
    </row>
    <row r="143" spans="1:13">
      <c r="A143" s="324"/>
      <c r="B143" s="334">
        <f t="shared" ref="B143:B146" si="32">+B142-1000</f>
        <v>4500</v>
      </c>
      <c r="C143" s="335">
        <v>-5.5179592950814413E-2</v>
      </c>
      <c r="D143" s="335">
        <v>-7.8210785255721005E-2</v>
      </c>
      <c r="E143" s="335">
        <v>-0.10073996169685911</v>
      </c>
      <c r="F143" s="335">
        <v>-0.1227833591370401</v>
      </c>
      <c r="H143" s="324"/>
      <c r="I143" s="331">
        <v>19.5</v>
      </c>
      <c r="J143" s="337">
        <v>0.1336081595246108</v>
      </c>
      <c r="K143" s="337">
        <v>0.11893678558770882</v>
      </c>
      <c r="L143" s="337">
        <v>0.10464031899161363</v>
      </c>
      <c r="M143" s="337">
        <v>9.0704570644368765E-2</v>
      </c>
    </row>
    <row r="144" spans="1:13">
      <c r="A144" s="324"/>
      <c r="B144" s="334">
        <f t="shared" si="32"/>
        <v>3500</v>
      </c>
      <c r="C144" s="335">
        <v>-6.2751442426557169E-2</v>
      </c>
      <c r="D144" s="335">
        <v>-8.5699202822119805E-2</v>
      </c>
      <c r="E144" s="335">
        <v>-0.10814676593722837</v>
      </c>
      <c r="F144" s="335">
        <v>-0.13011030981566099</v>
      </c>
      <c r="H144" s="324"/>
      <c r="I144" s="336">
        <v>20.5</v>
      </c>
      <c r="J144" s="337">
        <v>0.11560485365603546</v>
      </c>
      <c r="K144" s="337">
        <v>0.1006737969870084</v>
      </c>
      <c r="L144" s="337">
        <v>8.6137131068806161E-2</v>
      </c>
      <c r="M144" s="337">
        <v>7.1979433359827594E-2</v>
      </c>
    </row>
    <row r="145" spans="1:13">
      <c r="A145" s="324"/>
      <c r="B145" s="334">
        <f t="shared" si="32"/>
        <v>2500</v>
      </c>
      <c r="C145" s="335">
        <v>-7.0323291902299773E-2</v>
      </c>
      <c r="D145" s="335">
        <v>-9.3187620388518758E-2</v>
      </c>
      <c r="E145" s="335">
        <v>-0.11555357017759779</v>
      </c>
      <c r="F145" s="335">
        <v>-0.1374372604942819</v>
      </c>
      <c r="H145" s="324"/>
      <c r="I145" s="331">
        <v>21.5</v>
      </c>
      <c r="J145" s="337">
        <v>9.8164444271105378E-2</v>
      </c>
      <c r="K145" s="337">
        <v>8.2997401455001452E-2</v>
      </c>
      <c r="L145" s="337">
        <v>6.8243603374097628E-2</v>
      </c>
      <c r="M145" s="337">
        <v>5.3886387975870864E-2</v>
      </c>
    </row>
    <row r="146" spans="1:13">
      <c r="A146" s="324"/>
      <c r="B146" s="334">
        <f t="shared" si="32"/>
        <v>1500</v>
      </c>
      <c r="C146" s="335">
        <v>-7.789514137804239E-2</v>
      </c>
      <c r="D146" s="335">
        <v>-0.10067603795491741</v>
      </c>
      <c r="E146" s="335">
        <v>-0.12296037441796689</v>
      </c>
      <c r="F146" s="335">
        <v>-0.14476421117290264</v>
      </c>
      <c r="H146" s="324"/>
      <c r="I146" s="336">
        <v>15.5</v>
      </c>
      <c r="J146" s="337">
        <v>0.21183298939404893</v>
      </c>
      <c r="K146" s="337">
        <v>0.19848016979100103</v>
      </c>
      <c r="L146" s="337">
        <v>0.18541840447546121</v>
      </c>
      <c r="M146" s="337">
        <v>0.17263827978368274</v>
      </c>
    </row>
  </sheetData>
  <conditionalFormatting sqref="D3:M3">
    <cfRule type="containsText" dxfId="39" priority="5" operator="containsText" text="OK">
      <formula>NOT(ISERROR(SEARCH("OK",D3)))</formula>
    </cfRule>
    <cfRule type="containsText" dxfId="38" priority="6" operator="containsText" text="ERROR">
      <formula>NOT(ISERROR(SEARCH("ERROR",D3)))</formula>
    </cfRule>
  </conditionalFormatting>
  <conditionalFormatting sqref="D5:M5">
    <cfRule type="containsText" dxfId="37" priority="3" operator="containsText" text="OK">
      <formula>NOT(ISERROR(SEARCH("OK",D5)))</formula>
    </cfRule>
    <cfRule type="containsText" dxfId="36" priority="4" operator="containsText" text="ERROR">
      <formula>NOT(ISERROR(SEARCH("ERROR",D5)))</formula>
    </cfRule>
  </conditionalFormatting>
  <conditionalFormatting sqref="D61:M61">
    <cfRule type="containsText" dxfId="35" priority="1" operator="containsText" text="OK">
      <formula>NOT(ISERROR(SEARCH("OK",D61)))</formula>
    </cfRule>
    <cfRule type="containsText" dxfId="34" priority="2" operator="containsText" text="ERROR">
      <formula>NOT(ISERROR(SEARCH("ERROR",D61)))</formula>
    </cfRule>
  </conditionalFormatting>
  <dataValidations count="1">
    <dataValidation type="list" allowBlank="1" showInputMessage="1" showErrorMessage="1" sqref="H7" xr:uid="{00000000-0002-0000-0100-000001000000}">
      <formula1>$I$7:$M$7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1"/>
  <sheetViews>
    <sheetView showGridLines="0" zoomScaleNormal="100" workbookViewId="0">
      <pane ySplit="6" topLeftCell="A176" activePane="bottomLeft" state="frozen"/>
      <selection activeCell="H141" sqref="H141"/>
      <selection pane="bottomLeft"/>
    </sheetView>
  </sheetViews>
  <sheetFormatPr baseColWidth="10" defaultColWidth="9.1640625" defaultRowHeight="16" outlineLevelRow="1"/>
  <cols>
    <col min="1" max="2" width="14.5" style="171" customWidth="1"/>
    <col min="3" max="3" width="14.5" style="182" customWidth="1"/>
    <col min="4" max="14" width="14.5" style="171" customWidth="1"/>
    <col min="15" max="16384" width="9.1640625" style="171"/>
  </cols>
  <sheetData>
    <row r="1" spans="1:14">
      <c r="A1" s="165"/>
      <c r="B1" s="166"/>
      <c r="C1" s="167"/>
      <c r="D1" s="167"/>
      <c r="E1" s="167"/>
      <c r="F1" s="167"/>
      <c r="G1" s="167"/>
      <c r="H1" s="168"/>
      <c r="I1" s="169" t="s">
        <v>11</v>
      </c>
      <c r="J1" s="170"/>
      <c r="K1" s="170"/>
      <c r="L1" s="170"/>
      <c r="M1" s="170"/>
      <c r="N1" s="170"/>
    </row>
    <row r="2" spans="1:14" ht="21" customHeight="1">
      <c r="A2" s="172" t="s">
        <v>198</v>
      </c>
      <c r="B2" s="173"/>
      <c r="C2" s="174"/>
      <c r="D2" s="174"/>
      <c r="E2" s="174"/>
      <c r="F2" s="174"/>
      <c r="G2" s="174"/>
      <c r="H2" s="175" t="s">
        <v>189</v>
      </c>
      <c r="I2" s="176">
        <f>'Acquirer Model'!I2</f>
        <v>2017</v>
      </c>
      <c r="J2" s="176">
        <f>'Acquirer Model'!J2</f>
        <v>2018</v>
      </c>
      <c r="K2" s="176">
        <f>'Acquirer Model'!K2</f>
        <v>2019</v>
      </c>
      <c r="L2" s="176">
        <f>'Acquirer Model'!L2</f>
        <v>2020</v>
      </c>
      <c r="M2" s="176">
        <f>'Acquirer Model'!M2</f>
        <v>2021</v>
      </c>
      <c r="N2" s="176">
        <f>'Acquirer Model'!N2</f>
        <v>2022</v>
      </c>
    </row>
    <row r="3" spans="1:14" hidden="1" outlineLevel="1">
      <c r="A3" s="177" t="s">
        <v>12</v>
      </c>
      <c r="B3" s="177"/>
      <c r="C3" s="178"/>
      <c r="D3" s="179"/>
      <c r="E3" s="179"/>
      <c r="F3" s="179"/>
      <c r="G3" s="179"/>
      <c r="H3" s="180" t="str">
        <f>IFERROR(IF(ABS(H71)&gt;1,"ERROR","ok"),"ok")</f>
        <v>ok</v>
      </c>
      <c r="I3" s="180" t="str">
        <f t="shared" ref="I3:N3" si="0">IFERROR(IF(ABS(I71)&gt;1,"ERROR","ok"),"ok")</f>
        <v>ok</v>
      </c>
      <c r="J3" s="180" t="str">
        <f t="shared" si="0"/>
        <v>ok</v>
      </c>
      <c r="K3" s="180" t="str">
        <f t="shared" si="0"/>
        <v>ok</v>
      </c>
      <c r="L3" s="180" t="str">
        <f t="shared" si="0"/>
        <v>ok</v>
      </c>
      <c r="M3" s="180" t="str">
        <f t="shared" si="0"/>
        <v>ok</v>
      </c>
      <c r="N3" s="180" t="str">
        <f t="shared" si="0"/>
        <v>ok</v>
      </c>
    </row>
    <row r="4" spans="1:14" hidden="1" outlineLevel="1">
      <c r="A4" s="181" t="s">
        <v>156</v>
      </c>
      <c r="D4" s="183"/>
      <c r="E4" s="184"/>
      <c r="F4" s="184"/>
      <c r="G4" s="183"/>
      <c r="H4" s="183">
        <v>42840</v>
      </c>
      <c r="I4" s="183">
        <v>43100</v>
      </c>
      <c r="J4" s="183">
        <v>43465</v>
      </c>
      <c r="K4" s="183">
        <v>43830</v>
      </c>
      <c r="L4" s="183">
        <v>44196</v>
      </c>
      <c r="M4" s="183">
        <v>44561</v>
      </c>
      <c r="N4" s="183">
        <v>44561</v>
      </c>
    </row>
    <row r="5" spans="1:14" hidden="1" outlineLevel="1">
      <c r="A5" s="181" t="s">
        <v>157</v>
      </c>
      <c r="D5" s="185"/>
      <c r="E5" s="186"/>
      <c r="F5" s="186"/>
      <c r="G5" s="185"/>
      <c r="H5" s="185">
        <v>105</v>
      </c>
      <c r="I5" s="185">
        <v>260</v>
      </c>
      <c r="J5" s="185">
        <v>365</v>
      </c>
      <c r="K5" s="185">
        <v>365</v>
      </c>
      <c r="L5" s="185">
        <v>366</v>
      </c>
      <c r="M5" s="185">
        <v>365</v>
      </c>
      <c r="N5" s="185">
        <v>365</v>
      </c>
    </row>
    <row r="6" spans="1:14" hidden="1" outlineLevel="1">
      <c r="A6" s="181" t="s">
        <v>158</v>
      </c>
      <c r="D6" s="187"/>
      <c r="E6" s="188"/>
      <c r="F6" s="188"/>
      <c r="G6" s="187"/>
      <c r="H6" s="187">
        <v>0.28767123287671231</v>
      </c>
      <c r="I6" s="187">
        <v>0.74285714285714288</v>
      </c>
      <c r="J6" s="187">
        <v>1</v>
      </c>
      <c r="K6" s="187">
        <v>1</v>
      </c>
      <c r="L6" s="187">
        <v>1</v>
      </c>
      <c r="M6" s="187">
        <v>1</v>
      </c>
      <c r="N6" s="187">
        <v>1</v>
      </c>
    </row>
    <row r="7" spans="1:14" collapsed="1"/>
    <row r="8" spans="1:14" ht="20">
      <c r="A8" s="189" t="s">
        <v>14</v>
      </c>
      <c r="B8" s="190"/>
      <c r="C8" s="191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</row>
    <row r="9" spans="1:14" outlineLevel="1">
      <c r="D9" s="192"/>
      <c r="E9" s="192"/>
      <c r="F9" s="192"/>
      <c r="G9" s="192"/>
      <c r="H9" s="192"/>
      <c r="I9" s="193"/>
      <c r="J9" s="193"/>
      <c r="K9" s="193"/>
      <c r="L9" s="193"/>
      <c r="M9" s="193"/>
      <c r="N9" s="193"/>
    </row>
    <row r="10" spans="1:14" outlineLevel="1">
      <c r="A10" s="21"/>
      <c r="D10" s="192"/>
      <c r="E10" s="192"/>
      <c r="F10" s="192"/>
      <c r="G10" s="192"/>
      <c r="H10" s="192"/>
      <c r="I10" s="193"/>
      <c r="J10" s="193"/>
      <c r="K10" s="193"/>
      <c r="L10" s="193"/>
      <c r="M10" s="193"/>
      <c r="N10" s="193"/>
    </row>
    <row r="11" spans="1:14" outlineLevel="1">
      <c r="A11" s="21" t="s">
        <v>202</v>
      </c>
      <c r="D11" s="192"/>
      <c r="E11" s="192"/>
      <c r="F11" s="192"/>
      <c r="G11" s="292" t="s">
        <v>54</v>
      </c>
      <c r="H11" s="192"/>
      <c r="I11" s="193"/>
      <c r="J11" s="193"/>
      <c r="K11" s="193"/>
      <c r="L11" s="193"/>
      <c r="M11" s="193"/>
      <c r="N11" s="193"/>
    </row>
    <row r="12" spans="1:14" outlineLevel="1">
      <c r="A12" s="8" t="s">
        <v>122</v>
      </c>
      <c r="D12" s="192"/>
      <c r="E12" s="192"/>
      <c r="F12" s="192"/>
      <c r="G12" s="293">
        <f>SUM(H12:N12)</f>
        <v>1</v>
      </c>
      <c r="H12" s="274">
        <v>0</v>
      </c>
      <c r="I12" s="274">
        <v>0</v>
      </c>
      <c r="J12" s="274">
        <v>0</v>
      </c>
      <c r="K12" s="274">
        <v>0</v>
      </c>
      <c r="L12" s="274">
        <v>0</v>
      </c>
      <c r="M12" s="274">
        <v>0</v>
      </c>
      <c r="N12" s="274">
        <v>1</v>
      </c>
    </row>
    <row r="13" spans="1:14" outlineLevel="1">
      <c r="A13" s="8" t="s">
        <v>123</v>
      </c>
      <c r="D13" s="192"/>
      <c r="E13" s="192"/>
      <c r="F13" s="192"/>
      <c r="G13" s="293">
        <f t="shared" ref="G13:G14" si="1">SUM(H13:N13)</f>
        <v>1</v>
      </c>
      <c r="H13" s="274">
        <v>0</v>
      </c>
      <c r="I13" s="274">
        <v>0</v>
      </c>
      <c r="J13" s="274">
        <v>0.2</v>
      </c>
      <c r="K13" s="274">
        <v>0.2</v>
      </c>
      <c r="L13" s="274">
        <v>0.2</v>
      </c>
      <c r="M13" s="274">
        <v>0.2</v>
      </c>
      <c r="N13" s="274">
        <v>0.2</v>
      </c>
    </row>
    <row r="14" spans="1:14" outlineLevel="1">
      <c r="A14" s="8" t="s">
        <v>124</v>
      </c>
      <c r="D14" s="192"/>
      <c r="E14" s="192"/>
      <c r="F14" s="192"/>
      <c r="G14" s="293">
        <f t="shared" si="1"/>
        <v>1</v>
      </c>
      <c r="H14" s="274">
        <v>0</v>
      </c>
      <c r="I14" s="274">
        <v>0</v>
      </c>
      <c r="J14" s="274">
        <v>0</v>
      </c>
      <c r="K14" s="274">
        <v>0</v>
      </c>
      <c r="L14" s="274">
        <v>0</v>
      </c>
      <c r="M14" s="274">
        <v>0</v>
      </c>
      <c r="N14" s="274">
        <v>1</v>
      </c>
    </row>
    <row r="15" spans="1:14" outlineLevel="1">
      <c r="D15" s="192"/>
      <c r="E15" s="192"/>
      <c r="F15" s="192"/>
      <c r="G15" s="192"/>
      <c r="H15" s="192"/>
      <c r="I15" s="193"/>
      <c r="J15" s="193"/>
      <c r="K15" s="193"/>
      <c r="L15" s="193"/>
      <c r="M15" s="193"/>
      <c r="N15" s="193"/>
    </row>
    <row r="16" spans="1:14" s="212" customFormat="1" outlineLevel="1">
      <c r="C16" s="213"/>
      <c r="D16" s="286"/>
      <c r="E16" s="286"/>
      <c r="F16" s="286"/>
      <c r="G16" s="286"/>
      <c r="H16" s="286"/>
      <c r="I16" s="200"/>
      <c r="J16" s="200"/>
      <c r="K16" s="200"/>
      <c r="L16" s="200"/>
      <c r="M16" s="200"/>
      <c r="N16" s="200"/>
    </row>
    <row r="17" spans="1:14" s="212" customFormat="1" outlineLevel="1">
      <c r="A17" s="214" t="s">
        <v>16</v>
      </c>
      <c r="B17" s="206"/>
      <c r="C17" s="287"/>
      <c r="D17" s="288"/>
      <c r="E17" s="199"/>
      <c r="F17" s="199"/>
      <c r="G17" s="199"/>
      <c r="H17" s="199"/>
      <c r="I17" s="289"/>
      <c r="J17" s="289"/>
      <c r="K17" s="289"/>
      <c r="L17" s="289"/>
      <c r="M17" s="289"/>
      <c r="N17" s="289"/>
    </row>
    <row r="18" spans="1:14" outlineLevel="1">
      <c r="A18" s="214" t="s">
        <v>17</v>
      </c>
      <c r="B18" s="197"/>
      <c r="C18" s="198"/>
      <c r="D18" s="199"/>
      <c r="E18" s="199"/>
      <c r="F18" s="199"/>
      <c r="G18" s="199"/>
      <c r="H18" s="199"/>
      <c r="I18" s="290"/>
      <c r="J18" s="290"/>
      <c r="K18" s="290"/>
      <c r="L18" s="290"/>
      <c r="M18" s="290"/>
      <c r="N18" s="290"/>
    </row>
    <row r="19" spans="1:14" outlineLevel="1">
      <c r="A19" s="214" t="s">
        <v>184</v>
      </c>
      <c r="B19" s="197"/>
      <c r="C19" s="198"/>
      <c r="D19" s="199"/>
      <c r="E19" s="199"/>
      <c r="F19" s="199"/>
      <c r="G19" s="199"/>
      <c r="H19" s="199"/>
      <c r="I19" s="290"/>
      <c r="J19" s="290"/>
      <c r="K19" s="290"/>
      <c r="L19" s="290"/>
      <c r="M19" s="290"/>
      <c r="N19" s="290"/>
    </row>
    <row r="20" spans="1:14" outlineLevel="1">
      <c r="A20" s="214"/>
      <c r="B20" s="197"/>
      <c r="C20" s="198"/>
      <c r="D20" s="199"/>
      <c r="E20" s="199"/>
      <c r="F20" s="199"/>
      <c r="G20" s="199"/>
      <c r="H20" s="199"/>
      <c r="I20" s="290"/>
      <c r="J20" s="290"/>
      <c r="K20" s="290"/>
      <c r="L20" s="290"/>
      <c r="M20" s="290"/>
      <c r="N20" s="290"/>
    </row>
    <row r="21" spans="1:14" outlineLevel="1">
      <c r="A21" s="197" t="s">
        <v>20</v>
      </c>
      <c r="B21" s="197"/>
      <c r="C21" s="198"/>
      <c r="D21" s="199"/>
      <c r="E21" s="199"/>
      <c r="F21" s="199"/>
      <c r="G21" s="199"/>
      <c r="H21" s="199"/>
      <c r="I21" s="199">
        <v>0.2</v>
      </c>
      <c r="J21" s="199">
        <v>0.2</v>
      </c>
      <c r="K21" s="199">
        <v>0.2</v>
      </c>
      <c r="L21" s="199">
        <v>0.2</v>
      </c>
      <c r="M21" s="199">
        <v>0.2</v>
      </c>
      <c r="N21" s="199">
        <v>0.2</v>
      </c>
    </row>
    <row r="22" spans="1:14" outlineLevel="1">
      <c r="A22" s="197" t="s">
        <v>22</v>
      </c>
      <c r="B22" s="201"/>
      <c r="C22" s="202"/>
      <c r="D22" s="199"/>
      <c r="E22" s="199"/>
      <c r="F22" s="199"/>
      <c r="G22" s="199"/>
      <c r="H22" s="199"/>
      <c r="I22" s="199">
        <v>0.3</v>
      </c>
      <c r="J22" s="199">
        <v>0.3</v>
      </c>
      <c r="K22" s="199">
        <v>0.3</v>
      </c>
      <c r="L22" s="199">
        <v>0.3</v>
      </c>
      <c r="M22" s="199">
        <v>0.3</v>
      </c>
      <c r="N22" s="199">
        <v>0.3</v>
      </c>
    </row>
    <row r="23" spans="1:14" outlineLevel="1">
      <c r="A23" s="194" t="s">
        <v>23</v>
      </c>
      <c r="B23" s="194"/>
      <c r="C23" s="203"/>
      <c r="D23" s="193"/>
      <c r="E23" s="193"/>
      <c r="F23" s="193"/>
      <c r="G23" s="193"/>
      <c r="H23" s="193"/>
      <c r="I23" s="193">
        <v>18</v>
      </c>
      <c r="J23" s="193">
        <v>18</v>
      </c>
      <c r="K23" s="193">
        <v>18</v>
      </c>
      <c r="L23" s="193">
        <v>18</v>
      </c>
      <c r="M23" s="193">
        <v>18</v>
      </c>
      <c r="N23" s="193">
        <v>18</v>
      </c>
    </row>
    <row r="24" spans="1:14" outlineLevel="1">
      <c r="A24" s="194" t="s">
        <v>24</v>
      </c>
      <c r="B24" s="194"/>
      <c r="C24" s="203"/>
      <c r="D24" s="193"/>
      <c r="E24" s="193"/>
      <c r="F24" s="193"/>
      <c r="G24" s="193"/>
      <c r="H24" s="193"/>
      <c r="I24" s="193">
        <v>80</v>
      </c>
      <c r="J24" s="193">
        <v>90</v>
      </c>
      <c r="K24" s="193">
        <v>100</v>
      </c>
      <c r="L24" s="193">
        <v>100</v>
      </c>
      <c r="M24" s="193">
        <v>100</v>
      </c>
      <c r="N24" s="193">
        <v>100</v>
      </c>
    </row>
    <row r="25" spans="1:14" outlineLevel="1">
      <c r="A25" s="194" t="s">
        <v>25</v>
      </c>
      <c r="B25" s="194"/>
      <c r="C25" s="203"/>
      <c r="D25" s="193"/>
      <c r="E25" s="193"/>
      <c r="F25" s="193"/>
      <c r="G25" s="193"/>
      <c r="H25" s="193"/>
      <c r="I25" s="193">
        <v>37</v>
      </c>
      <c r="J25" s="193">
        <v>37</v>
      </c>
      <c r="K25" s="193">
        <v>37</v>
      </c>
      <c r="L25" s="193">
        <v>37</v>
      </c>
      <c r="M25" s="193">
        <v>37</v>
      </c>
      <c r="N25" s="193">
        <v>37</v>
      </c>
    </row>
    <row r="26" spans="1:14" outlineLevel="1">
      <c r="A26" s="194"/>
      <c r="B26" s="194"/>
      <c r="C26" s="20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4" outlineLevel="1">
      <c r="A27" s="194" t="s">
        <v>28</v>
      </c>
      <c r="B27" s="194"/>
      <c r="C27" s="195"/>
      <c r="D27" s="193"/>
      <c r="E27" s="193"/>
      <c r="F27" s="193"/>
      <c r="G27" s="193"/>
      <c r="H27" s="193"/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</row>
    <row r="28" spans="1:14" outlineLevel="1">
      <c r="A28" s="194" t="s">
        <v>208</v>
      </c>
      <c r="B28" s="194"/>
      <c r="C28" s="195"/>
      <c r="D28" s="193"/>
      <c r="E28" s="193"/>
      <c r="F28" s="193"/>
      <c r="G28" s="193"/>
      <c r="H28" s="193"/>
      <c r="I28" s="193">
        <v>0</v>
      </c>
      <c r="J28" s="193">
        <v>0</v>
      </c>
      <c r="K28" s="193">
        <v>0</v>
      </c>
      <c r="L28" s="193">
        <v>500</v>
      </c>
      <c r="M28" s="193">
        <v>500</v>
      </c>
      <c r="N28" s="193">
        <v>500</v>
      </c>
    </row>
    <row r="29" spans="1:14" outlineLevel="1">
      <c r="D29" s="192"/>
      <c r="E29" s="192"/>
      <c r="F29" s="192"/>
      <c r="G29" s="192"/>
      <c r="H29" s="192"/>
      <c r="I29" s="193"/>
      <c r="J29" s="193"/>
      <c r="K29" s="193"/>
      <c r="L29" s="193"/>
      <c r="M29" s="193"/>
      <c r="N29" s="193"/>
    </row>
    <row r="30" spans="1:14">
      <c r="D30" s="192"/>
      <c r="E30" s="192"/>
      <c r="F30" s="192"/>
      <c r="G30" s="192"/>
      <c r="H30" s="192"/>
      <c r="I30" s="193"/>
      <c r="J30" s="193"/>
      <c r="K30" s="193"/>
      <c r="L30" s="193"/>
      <c r="M30" s="193"/>
      <c r="N30" s="193"/>
    </row>
    <row r="31" spans="1:14" ht="20">
      <c r="A31" s="189" t="s">
        <v>30</v>
      </c>
      <c r="B31" s="190"/>
      <c r="C31" s="191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</row>
    <row r="32" spans="1:14" outlineLevel="1">
      <c r="A32" s="204"/>
      <c r="B32" s="204"/>
      <c r="C32" s="205"/>
      <c r="D32" s="206"/>
      <c r="E32" s="206"/>
      <c r="F32" s="206"/>
      <c r="G32" s="206"/>
      <c r="H32" s="206"/>
      <c r="I32" s="207"/>
      <c r="J32" s="207"/>
      <c r="K32" s="207"/>
      <c r="L32" s="207"/>
      <c r="M32" s="207"/>
      <c r="N32" s="207"/>
    </row>
    <row r="33" spans="1:14" outlineLevel="1">
      <c r="A33" s="21" t="s">
        <v>9</v>
      </c>
      <c r="B33" s="208"/>
      <c r="C33" s="209"/>
      <c r="D33" s="210"/>
      <c r="E33" s="210"/>
      <c r="F33" s="210"/>
      <c r="G33" s="210"/>
      <c r="H33" s="210"/>
      <c r="I33" s="211">
        <f>I208</f>
        <v>195336.20422939069</v>
      </c>
      <c r="J33" s="211">
        <f t="shared" ref="J33:N33" si="2">J208</f>
        <v>296053.01000896061</v>
      </c>
      <c r="K33" s="211">
        <f t="shared" si="2"/>
        <v>329971.68881003588</v>
      </c>
      <c r="L33" s="211">
        <f t="shared" si="2"/>
        <v>362814.58237103949</v>
      </c>
      <c r="M33" s="211">
        <f t="shared" si="2"/>
        <v>391319.7489607227</v>
      </c>
      <c r="N33" s="211">
        <f t="shared" si="2"/>
        <v>416771.30980507005</v>
      </c>
    </row>
    <row r="34" spans="1:14" outlineLevel="1">
      <c r="A34" s="212" t="s">
        <v>31</v>
      </c>
      <c r="B34" s="212"/>
      <c r="C34" s="213"/>
      <c r="D34" s="210"/>
      <c r="E34" s="210"/>
      <c r="F34" s="210"/>
      <c r="G34" s="210"/>
      <c r="H34" s="210"/>
      <c r="I34" s="214">
        <f>I214</f>
        <v>82041.205776344083</v>
      </c>
      <c r="J34" s="214">
        <f t="shared" ref="J34:N34" si="3">J214</f>
        <v>123968.41650367384</v>
      </c>
      <c r="K34" s="214">
        <f t="shared" si="3"/>
        <v>137757.02680401434</v>
      </c>
      <c r="L34" s="214">
        <f t="shared" si="3"/>
        <v>152587.7584424158</v>
      </c>
      <c r="M34" s="214">
        <f t="shared" si="3"/>
        <v>168102.15502451308</v>
      </c>
      <c r="N34" s="214">
        <f t="shared" si="3"/>
        <v>179274.9772430677</v>
      </c>
    </row>
    <row r="35" spans="1:14" outlineLevel="1">
      <c r="A35" s="215" t="s">
        <v>32</v>
      </c>
      <c r="B35" s="215"/>
      <c r="C35" s="216"/>
      <c r="D35" s="217"/>
      <c r="E35" s="217"/>
      <c r="F35" s="217"/>
      <c r="G35" s="217"/>
      <c r="H35" s="217"/>
      <c r="I35" s="217">
        <f>I33-I34</f>
        <v>113294.9984530466</v>
      </c>
      <c r="J35" s="217">
        <f t="shared" ref="J35:N35" si="4">J33-J34</f>
        <v>172084.59350528679</v>
      </c>
      <c r="K35" s="217">
        <f t="shared" si="4"/>
        <v>192214.66200602154</v>
      </c>
      <c r="L35" s="217">
        <f t="shared" si="4"/>
        <v>210226.82392862369</v>
      </c>
      <c r="M35" s="217">
        <f t="shared" si="4"/>
        <v>223217.59393620963</v>
      </c>
      <c r="N35" s="217">
        <f t="shared" si="4"/>
        <v>237496.33256200235</v>
      </c>
    </row>
    <row r="36" spans="1:14" outlineLevel="1">
      <c r="A36" s="204" t="s">
        <v>33</v>
      </c>
      <c r="B36" s="204"/>
      <c r="C36" s="205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</row>
    <row r="37" spans="1:14" outlineLevel="1">
      <c r="A37" s="212" t="s">
        <v>185</v>
      </c>
      <c r="D37" s="210"/>
      <c r="E37" s="210"/>
      <c r="F37" s="210"/>
      <c r="G37" s="210"/>
      <c r="H37" s="210"/>
      <c r="I37" s="211">
        <f>I220</f>
        <v>32485.815305273944</v>
      </c>
      <c r="J37" s="211">
        <f t="shared" ref="J37:N37" si="5">J220</f>
        <v>48505.822801433693</v>
      </c>
      <c r="K37" s="211">
        <f t="shared" si="5"/>
        <v>53313.745529605745</v>
      </c>
      <c r="L37" s="211">
        <f t="shared" si="5"/>
        <v>57947.718278166321</v>
      </c>
      <c r="M37" s="211">
        <f t="shared" si="5"/>
        <v>62683.535740419633</v>
      </c>
      <c r="N37" s="211">
        <f t="shared" si="5"/>
        <v>66921.151788984484</v>
      </c>
    </row>
    <row r="38" spans="1:14" outlineLevel="1">
      <c r="A38" s="171" t="s">
        <v>182</v>
      </c>
      <c r="D38" s="210"/>
      <c r="E38" s="210"/>
      <c r="F38" s="210"/>
      <c r="G38" s="210"/>
      <c r="H38" s="210"/>
      <c r="I38" s="211">
        <f>I226</f>
        <v>16342.857142857143</v>
      </c>
      <c r="J38" s="211">
        <f t="shared" ref="J38:N38" si="6">J226</f>
        <v>21700</v>
      </c>
      <c r="K38" s="211">
        <f t="shared" si="6"/>
        <v>21350</v>
      </c>
      <c r="L38" s="211">
        <f t="shared" si="6"/>
        <v>21000</v>
      </c>
      <c r="M38" s="211">
        <f t="shared" si="6"/>
        <v>21000</v>
      </c>
      <c r="N38" s="211">
        <f t="shared" si="6"/>
        <v>21000</v>
      </c>
    </row>
    <row r="39" spans="1:14" outlineLevel="1">
      <c r="A39" s="171" t="s">
        <v>34</v>
      </c>
      <c r="D39" s="210"/>
      <c r="E39" s="210"/>
      <c r="F39" s="210"/>
      <c r="G39" s="210"/>
      <c r="H39" s="210"/>
      <c r="I39" s="211">
        <f>I111</f>
        <v>10354.660323428572</v>
      </c>
      <c r="J39" s="211">
        <f t="shared" ref="J39:N39" si="7">J111</f>
        <v>14950.890898171428</v>
      </c>
      <c r="K39" s="211">
        <f t="shared" si="7"/>
        <v>16110.712718537143</v>
      </c>
      <c r="L39" s="211">
        <f t="shared" si="7"/>
        <v>17038.570174829714</v>
      </c>
      <c r="M39" s="211">
        <f t="shared" si="7"/>
        <v>17780.856139863772</v>
      </c>
      <c r="N39" s="211">
        <f t="shared" si="7"/>
        <v>18374.684911891018</v>
      </c>
    </row>
    <row r="40" spans="1:14" outlineLevel="1">
      <c r="A40" s="219" t="s">
        <v>35</v>
      </c>
      <c r="B40" s="219"/>
      <c r="C40" s="220"/>
      <c r="D40" s="210"/>
      <c r="E40" s="210"/>
      <c r="F40" s="210"/>
      <c r="G40" s="210"/>
      <c r="H40" s="210"/>
      <c r="I40" s="221">
        <f>I160</f>
        <v>9982.1428571428569</v>
      </c>
      <c r="J40" s="221">
        <f t="shared" ref="J40:N40" si="8">J160</f>
        <v>13437.5</v>
      </c>
      <c r="K40" s="221">
        <f t="shared" si="8"/>
        <v>12862.5</v>
      </c>
      <c r="L40" s="221">
        <f t="shared" si="8"/>
        <v>10287.5</v>
      </c>
      <c r="M40" s="221">
        <f t="shared" si="8"/>
        <v>9712.5</v>
      </c>
      <c r="N40" s="221">
        <f t="shared" si="8"/>
        <v>9137.5</v>
      </c>
    </row>
    <row r="41" spans="1:14" outlineLevel="1">
      <c r="A41" s="204" t="s">
        <v>36</v>
      </c>
      <c r="B41" s="212"/>
      <c r="C41" s="213"/>
      <c r="D41" s="222"/>
      <c r="E41" s="222"/>
      <c r="F41" s="222"/>
      <c r="G41" s="222"/>
      <c r="H41" s="222"/>
      <c r="I41" s="207">
        <f>SUM(I37:I40)</f>
        <v>69165.475628702523</v>
      </c>
      <c r="J41" s="207">
        <f t="shared" ref="J41:N41" si="9">SUM(J37:J40)</f>
        <v>98594.213699605127</v>
      </c>
      <c r="K41" s="207">
        <f t="shared" si="9"/>
        <v>103636.95824814288</v>
      </c>
      <c r="L41" s="207">
        <f t="shared" si="9"/>
        <v>106273.78845299603</v>
      </c>
      <c r="M41" s="207">
        <f t="shared" si="9"/>
        <v>111176.89188028341</v>
      </c>
      <c r="N41" s="207">
        <f t="shared" si="9"/>
        <v>115433.3367008755</v>
      </c>
    </row>
    <row r="42" spans="1:14" outlineLevel="1">
      <c r="A42" s="215" t="s">
        <v>37</v>
      </c>
      <c r="B42" s="215"/>
      <c r="C42" s="216"/>
      <c r="D42" s="217"/>
      <c r="E42" s="217"/>
      <c r="F42" s="217"/>
      <c r="G42" s="217"/>
      <c r="H42" s="217"/>
      <c r="I42" s="217">
        <f>I35-I41</f>
        <v>44129.52282434408</v>
      </c>
      <c r="J42" s="217">
        <f t="shared" ref="J42:N42" si="10">J35-J41</f>
        <v>73490.379805681659</v>
      </c>
      <c r="K42" s="217">
        <f t="shared" si="10"/>
        <v>88577.703757878655</v>
      </c>
      <c r="L42" s="217">
        <f t="shared" si="10"/>
        <v>103953.03547562766</v>
      </c>
      <c r="M42" s="217">
        <f t="shared" si="10"/>
        <v>112040.70205592622</v>
      </c>
      <c r="N42" s="217">
        <f t="shared" si="10"/>
        <v>122062.99586112685</v>
      </c>
    </row>
    <row r="43" spans="1:14" outlineLevel="1">
      <c r="A43" s="204"/>
      <c r="B43" s="204"/>
      <c r="C43" s="205"/>
      <c r="D43" s="206"/>
      <c r="E43" s="206"/>
      <c r="F43" s="206"/>
      <c r="G43" s="206"/>
      <c r="H43" s="206"/>
      <c r="I43" s="207"/>
      <c r="J43" s="207"/>
      <c r="K43" s="207"/>
      <c r="L43" s="207"/>
      <c r="M43" s="207"/>
      <c r="N43" s="207"/>
    </row>
    <row r="44" spans="1:14" outlineLevel="1">
      <c r="A44" s="212" t="s">
        <v>38</v>
      </c>
      <c r="B44" s="212"/>
      <c r="C44" s="213"/>
      <c r="D44" s="210"/>
      <c r="E44" s="210"/>
      <c r="F44" s="210"/>
      <c r="G44" s="210"/>
      <c r="H44" s="210"/>
      <c r="I44" s="223">
        <f>IF(I42&gt;0,I42*I22,0)</f>
        <v>13238.856847303223</v>
      </c>
      <c r="J44" s="223">
        <f t="shared" ref="J44:N44" si="11">IF(J42&gt;0,J42*J22,0)</f>
        <v>22047.113941704498</v>
      </c>
      <c r="K44" s="223">
        <f t="shared" si="11"/>
        <v>26573.311127363595</v>
      </c>
      <c r="L44" s="223">
        <f t="shared" si="11"/>
        <v>31185.910642688297</v>
      </c>
      <c r="M44" s="223">
        <f t="shared" si="11"/>
        <v>33612.210616777862</v>
      </c>
      <c r="N44" s="223">
        <f t="shared" si="11"/>
        <v>36618.898758338051</v>
      </c>
    </row>
    <row r="45" spans="1:14" ht="17" outlineLevel="1" thickBot="1">
      <c r="A45" s="224" t="s">
        <v>39</v>
      </c>
      <c r="B45" s="224"/>
      <c r="C45" s="225"/>
      <c r="D45" s="226"/>
      <c r="E45" s="226"/>
      <c r="F45" s="226"/>
      <c r="G45" s="226"/>
      <c r="H45" s="226"/>
      <c r="I45" s="226">
        <f>I42-I44</f>
        <v>30890.665977040859</v>
      </c>
      <c r="J45" s="226">
        <f t="shared" ref="J45:N45" si="12">J42-J44</f>
        <v>51443.265863977162</v>
      </c>
      <c r="K45" s="226">
        <f t="shared" si="12"/>
        <v>62004.39263051506</v>
      </c>
      <c r="L45" s="226">
        <f t="shared" si="12"/>
        <v>72767.124832939371</v>
      </c>
      <c r="M45" s="226">
        <f t="shared" si="12"/>
        <v>78428.491439148347</v>
      </c>
      <c r="N45" s="226">
        <f t="shared" si="12"/>
        <v>85444.097102788801</v>
      </c>
    </row>
    <row r="46" spans="1:14" ht="17" outlineLevel="1" collapsed="1" thickTop="1">
      <c r="D46" s="194"/>
      <c r="E46" s="194"/>
      <c r="F46" s="194"/>
      <c r="G46" s="194"/>
      <c r="H46" s="194"/>
    </row>
    <row r="47" spans="1:14">
      <c r="D47" s="194"/>
      <c r="E47" s="194"/>
      <c r="F47" s="194"/>
      <c r="G47" s="194"/>
      <c r="H47" s="194"/>
    </row>
    <row r="48" spans="1:14" ht="20">
      <c r="A48" s="189" t="s">
        <v>40</v>
      </c>
      <c r="B48" s="190"/>
      <c r="C48" s="191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</row>
    <row r="49" spans="1:14" outlineLevel="1">
      <c r="D49" s="194"/>
      <c r="E49" s="194"/>
      <c r="F49" s="194"/>
      <c r="G49" s="194"/>
      <c r="H49" s="194"/>
    </row>
    <row r="50" spans="1:14" outlineLevel="1">
      <c r="A50" s="208" t="s">
        <v>41</v>
      </c>
      <c r="D50" s="194"/>
      <c r="E50" s="194"/>
      <c r="F50" s="194"/>
      <c r="G50" s="194"/>
      <c r="H50" s="194"/>
    </row>
    <row r="51" spans="1:14" outlineLevel="1">
      <c r="A51" s="171" t="s">
        <v>42</v>
      </c>
      <c r="C51" s="227"/>
      <c r="D51" s="211"/>
      <c r="E51" s="211"/>
      <c r="F51" s="211"/>
      <c r="G51" s="210"/>
      <c r="H51" s="210">
        <f>'Deal Assumptions &amp; Analysis'!M67</f>
        <v>100543.29503116112</v>
      </c>
      <c r="I51" s="211">
        <f>I95</f>
        <v>126956.58487815142</v>
      </c>
      <c r="J51" s="211">
        <f t="shared" ref="J51:N51" si="13">J95</f>
        <v>157091.60275920681</v>
      </c>
      <c r="K51" s="211">
        <f t="shared" si="13"/>
        <v>177007.65925243014</v>
      </c>
      <c r="L51" s="211">
        <f t="shared" si="13"/>
        <v>231504.72485954349</v>
      </c>
      <c r="M51" s="211">
        <f t="shared" si="13"/>
        <v>292259.66578276263</v>
      </c>
      <c r="N51" s="211">
        <f t="shared" si="13"/>
        <v>236644.8426057515</v>
      </c>
    </row>
    <row r="52" spans="1:14" outlineLevel="1">
      <c r="A52" s="171" t="s">
        <v>43</v>
      </c>
      <c r="C52" s="227"/>
      <c r="D52" s="210"/>
      <c r="E52" s="210"/>
      <c r="F52" s="210"/>
      <c r="G52" s="210"/>
      <c r="H52" s="210">
        <f>'Deal Assumptions &amp; Analysis'!M68</f>
        <v>14145.261000887524</v>
      </c>
      <c r="I52" s="228">
        <f>I33*I23/I5</f>
        <v>13523.275677419355</v>
      </c>
      <c r="J52" s="228">
        <f t="shared" ref="J52:N52" si="14">J33*J23/J5</f>
        <v>14599.874466195317</v>
      </c>
      <c r="K52" s="228">
        <f t="shared" si="14"/>
        <v>16272.576434467524</v>
      </c>
      <c r="L52" s="228">
        <f t="shared" si="14"/>
        <v>17843.340116608499</v>
      </c>
      <c r="M52" s="228">
        <f t="shared" si="14"/>
        <v>19297.960222720572</v>
      </c>
      <c r="N52" s="228">
        <f t="shared" si="14"/>
        <v>20553.105689017153</v>
      </c>
    </row>
    <row r="53" spans="1:14" outlineLevel="1">
      <c r="A53" s="171" t="s">
        <v>44</v>
      </c>
      <c r="C53" s="227"/>
      <c r="D53" s="210"/>
      <c r="E53" s="210"/>
      <c r="F53" s="210"/>
      <c r="G53" s="210"/>
      <c r="H53" s="210">
        <f>'Deal Assumptions &amp; Analysis'!M69</f>
        <v>25039.821893919063</v>
      </c>
      <c r="I53" s="229">
        <f>I34*I24/I5</f>
        <v>25243.447931182793</v>
      </c>
      <c r="J53" s="229">
        <f t="shared" ref="J53:N53" si="15">J34*J24/J5</f>
        <v>30567.554754330533</v>
      </c>
      <c r="K53" s="229">
        <f t="shared" si="15"/>
        <v>37741.651179182008</v>
      </c>
      <c r="L53" s="229">
        <f t="shared" si="15"/>
        <v>41690.644383173712</v>
      </c>
      <c r="M53" s="229">
        <f t="shared" si="15"/>
        <v>46055.384938222764</v>
      </c>
      <c r="N53" s="229">
        <f t="shared" si="15"/>
        <v>49116.43212138841</v>
      </c>
    </row>
    <row r="54" spans="1:14" outlineLevel="1">
      <c r="A54" s="230" t="s">
        <v>152</v>
      </c>
      <c r="B54" s="231"/>
      <c r="C54" s="232"/>
      <c r="D54" s="217"/>
      <c r="E54" s="217"/>
      <c r="F54" s="217"/>
      <c r="G54" s="217"/>
      <c r="H54" s="217">
        <f>SUM(H51:H53)</f>
        <v>139728.37792596771</v>
      </c>
      <c r="I54" s="217">
        <f>SUM(I51:I53)</f>
        <v>165723.30848675358</v>
      </c>
      <c r="J54" s="217">
        <f t="shared" ref="J54:N54" si="16">SUM(J51:J53)</f>
        <v>202259.03197973268</v>
      </c>
      <c r="K54" s="217">
        <f t="shared" si="16"/>
        <v>231021.88686607964</v>
      </c>
      <c r="L54" s="217">
        <f t="shared" si="16"/>
        <v>291038.7093593257</v>
      </c>
      <c r="M54" s="217">
        <f t="shared" si="16"/>
        <v>357613.01094370597</v>
      </c>
      <c r="N54" s="217">
        <f t="shared" si="16"/>
        <v>306314.38041615707</v>
      </c>
    </row>
    <row r="55" spans="1:14" outlineLevel="1">
      <c r="A55" s="171" t="s">
        <v>45</v>
      </c>
      <c r="D55" s="210"/>
      <c r="E55" s="210"/>
      <c r="F55" s="210"/>
      <c r="G55" s="210"/>
      <c r="H55" s="210">
        <f>'Deal Assumptions &amp; Analysis'!M71</f>
        <v>69694.829100000003</v>
      </c>
      <c r="I55" s="171">
        <f>I112</f>
        <v>74754.454490857141</v>
      </c>
      <c r="J55" s="171">
        <f t="shared" ref="J55:N55" si="17">J112</f>
        <v>80553.563592685707</v>
      </c>
      <c r="K55" s="171">
        <f t="shared" si="17"/>
        <v>85192.850874148571</v>
      </c>
      <c r="L55" s="171">
        <f t="shared" si="17"/>
        <v>88904.280699318857</v>
      </c>
      <c r="M55" s="171">
        <f t="shared" si="17"/>
        <v>91873.424559455088</v>
      </c>
      <c r="N55" s="171">
        <f t="shared" si="17"/>
        <v>94248.739647564071</v>
      </c>
    </row>
    <row r="56" spans="1:14" outlineLevel="1">
      <c r="A56" s="171" t="s">
        <v>175</v>
      </c>
      <c r="D56" s="210"/>
      <c r="E56" s="210"/>
      <c r="F56" s="210"/>
      <c r="G56" s="210"/>
      <c r="H56" s="210">
        <f>'Deal Assumptions &amp; Analysis'!M72</f>
        <v>395569.03229838709</v>
      </c>
      <c r="I56" s="171">
        <f>H56</f>
        <v>395569.03229838709</v>
      </c>
      <c r="J56" s="171">
        <f t="shared" ref="J56:N56" si="18">I56</f>
        <v>395569.03229838709</v>
      </c>
      <c r="K56" s="171">
        <f t="shared" si="18"/>
        <v>395569.03229838709</v>
      </c>
      <c r="L56" s="171">
        <f t="shared" si="18"/>
        <v>395569.03229838709</v>
      </c>
      <c r="M56" s="171">
        <f t="shared" si="18"/>
        <v>395569.03229838709</v>
      </c>
      <c r="N56" s="171">
        <f t="shared" si="18"/>
        <v>395569.03229838709</v>
      </c>
    </row>
    <row r="57" spans="1:14" ht="17" outlineLevel="1" thickBot="1">
      <c r="A57" s="224" t="s">
        <v>46</v>
      </c>
      <c r="B57" s="224"/>
      <c r="C57" s="225"/>
      <c r="D57" s="226"/>
      <c r="E57" s="226"/>
      <c r="F57" s="226"/>
      <c r="G57" s="226"/>
      <c r="H57" s="226">
        <f>SUM(H54:H56)</f>
        <v>604992.2393243548</v>
      </c>
      <c r="I57" s="226">
        <f>SUM(I54:I56)</f>
        <v>636046.79527599784</v>
      </c>
      <c r="J57" s="226">
        <f t="shared" ref="J57:N57" si="19">SUM(J54:J56)</f>
        <v>678381.62787080556</v>
      </c>
      <c r="K57" s="226">
        <f t="shared" si="19"/>
        <v>711783.77003861521</v>
      </c>
      <c r="L57" s="226">
        <f t="shared" si="19"/>
        <v>775512.0223570317</v>
      </c>
      <c r="M57" s="226">
        <f t="shared" si="19"/>
        <v>845055.46780154807</v>
      </c>
      <c r="N57" s="226">
        <f t="shared" si="19"/>
        <v>796132.15236210823</v>
      </c>
    </row>
    <row r="58" spans="1:14" ht="17" outlineLevel="1" thickTop="1">
      <c r="A58" s="204"/>
      <c r="B58" s="204"/>
      <c r="C58" s="205"/>
      <c r="D58" s="206"/>
      <c r="E58" s="206"/>
      <c r="F58" s="204"/>
      <c r="G58" s="204"/>
      <c r="H58" s="204"/>
      <c r="I58" s="204"/>
      <c r="J58" s="204"/>
      <c r="K58" s="204"/>
      <c r="L58" s="204"/>
      <c r="M58" s="204"/>
      <c r="N58" s="204"/>
    </row>
    <row r="59" spans="1:14" outlineLevel="1">
      <c r="A59" s="208" t="s">
        <v>47</v>
      </c>
      <c r="C59" s="227"/>
      <c r="D59" s="194"/>
      <c r="E59" s="194"/>
    </row>
    <row r="60" spans="1:14" outlineLevel="1">
      <c r="A60" s="233" t="s">
        <v>153</v>
      </c>
      <c r="C60" s="227"/>
      <c r="D60" s="210"/>
      <c r="E60" s="210"/>
      <c r="F60" s="210"/>
      <c r="G60" s="210"/>
      <c r="H60" s="210">
        <f>'Deal Assumptions &amp; Analysis'!M76</f>
        <v>0</v>
      </c>
    </row>
    <row r="61" spans="1:14" outlineLevel="1">
      <c r="A61" s="171" t="s">
        <v>48</v>
      </c>
      <c r="C61" s="227"/>
      <c r="D61" s="210"/>
      <c r="E61" s="210"/>
      <c r="F61" s="210"/>
      <c r="G61" s="210"/>
      <c r="H61" s="210">
        <f>'Deal Assumptions &amp; Analysis'!M77</f>
        <v>11511.204693569893</v>
      </c>
      <c r="I61" s="229">
        <f>I34*I25/I5</f>
        <v>11675.094668172042</v>
      </c>
      <c r="J61" s="229">
        <f t="shared" ref="J61:N61" si="20">J34*J25/J5</f>
        <v>12566.661399002554</v>
      </c>
      <c r="K61" s="229">
        <f t="shared" si="20"/>
        <v>13964.410936297343</v>
      </c>
      <c r="L61" s="229">
        <f t="shared" si="20"/>
        <v>15425.538421774276</v>
      </c>
      <c r="M61" s="229">
        <f t="shared" si="20"/>
        <v>17040.492427142421</v>
      </c>
      <c r="N61" s="229">
        <f t="shared" si="20"/>
        <v>18173.07988491371</v>
      </c>
    </row>
    <row r="62" spans="1:14" outlineLevel="1">
      <c r="A62" s="117" t="s">
        <v>155</v>
      </c>
      <c r="B62" s="27"/>
      <c r="C62" s="294"/>
      <c r="D62" s="50"/>
      <c r="E62" s="50"/>
      <c r="F62" s="50"/>
      <c r="G62" s="50"/>
      <c r="H62" s="50">
        <f>SUM(H60:H61)</f>
        <v>11511.204693569893</v>
      </c>
      <c r="I62" s="50">
        <f>SUM(I60:I61)</f>
        <v>11675.094668172042</v>
      </c>
      <c r="J62" s="50">
        <f t="shared" ref="J62:N62" si="21">SUM(J60:J61)</f>
        <v>12566.661399002554</v>
      </c>
      <c r="K62" s="50">
        <f t="shared" si="21"/>
        <v>13964.410936297343</v>
      </c>
      <c r="L62" s="50">
        <f t="shared" si="21"/>
        <v>15425.538421774276</v>
      </c>
      <c r="M62" s="50">
        <f t="shared" si="21"/>
        <v>17040.492427142421</v>
      </c>
      <c r="N62" s="50">
        <f t="shared" si="21"/>
        <v>18173.07988491371</v>
      </c>
    </row>
    <row r="63" spans="1:14" outlineLevel="1">
      <c r="A63" s="171" t="s">
        <v>154</v>
      </c>
      <c r="D63" s="210"/>
      <c r="E63" s="210"/>
      <c r="F63" s="210"/>
      <c r="G63" s="210"/>
      <c r="H63" s="210">
        <f>'Deal Assumptions &amp; Analysis'!M79</f>
        <v>205000</v>
      </c>
      <c r="I63" s="171">
        <f>I143</f>
        <v>205000</v>
      </c>
      <c r="J63" s="171">
        <f t="shared" ref="J63:N63" si="22">J143</f>
        <v>195000</v>
      </c>
      <c r="K63" s="171">
        <f t="shared" si="22"/>
        <v>165000</v>
      </c>
      <c r="L63" s="171">
        <f t="shared" si="22"/>
        <v>155000</v>
      </c>
      <c r="M63" s="171">
        <f t="shared" si="22"/>
        <v>145000</v>
      </c>
      <c r="N63" s="171">
        <f t="shared" si="22"/>
        <v>10000</v>
      </c>
    </row>
    <row r="64" spans="1:14" outlineLevel="1">
      <c r="A64" s="215" t="s">
        <v>49</v>
      </c>
      <c r="B64" s="215"/>
      <c r="C64" s="216"/>
      <c r="D64" s="217"/>
      <c r="E64" s="217"/>
      <c r="F64" s="217"/>
      <c r="G64" s="217"/>
      <c r="H64" s="217">
        <f>SUM(H62:H63)</f>
        <v>216511.20469356989</v>
      </c>
      <c r="I64" s="217">
        <f>SUM(I62:I63)</f>
        <v>216675.09466817204</v>
      </c>
      <c r="J64" s="217">
        <f t="shared" ref="J64:N64" si="23">SUM(J62:J63)</f>
        <v>207566.66139900257</v>
      </c>
      <c r="K64" s="217">
        <f t="shared" si="23"/>
        <v>178964.41093629735</v>
      </c>
      <c r="L64" s="217">
        <f t="shared" si="23"/>
        <v>170425.53842177428</v>
      </c>
      <c r="M64" s="217">
        <f t="shared" si="23"/>
        <v>162040.49242714242</v>
      </c>
      <c r="N64" s="217">
        <f t="shared" si="23"/>
        <v>28173.07988491371</v>
      </c>
    </row>
    <row r="65" spans="1:14" outlineLevel="1">
      <c r="A65" s="208" t="s">
        <v>50</v>
      </c>
      <c r="D65" s="194"/>
      <c r="E65" s="194"/>
    </row>
    <row r="66" spans="1:14" outlineLevel="1">
      <c r="A66" s="171" t="s">
        <v>51</v>
      </c>
      <c r="D66" s="210"/>
      <c r="E66" s="210"/>
      <c r="F66" s="210"/>
      <c r="G66" s="210"/>
      <c r="H66" s="210">
        <f>'Deal Assumptions &amp; Analysis'!M82</f>
        <v>312187.5</v>
      </c>
      <c r="I66" s="171">
        <f>H66+I27</f>
        <v>312187.5</v>
      </c>
      <c r="J66" s="171">
        <f t="shared" ref="J66:N66" si="24">I66+J27</f>
        <v>312187.5</v>
      </c>
      <c r="K66" s="171">
        <f t="shared" si="24"/>
        <v>312187.5</v>
      </c>
      <c r="L66" s="171">
        <f t="shared" si="24"/>
        <v>312187.5</v>
      </c>
      <c r="M66" s="171">
        <f t="shared" si="24"/>
        <v>312187.5</v>
      </c>
      <c r="N66" s="171">
        <f t="shared" si="24"/>
        <v>312187.5</v>
      </c>
    </row>
    <row r="67" spans="1:14" outlineLevel="1">
      <c r="A67" s="171" t="s">
        <v>52</v>
      </c>
      <c r="D67" s="210"/>
      <c r="E67" s="210"/>
      <c r="F67" s="210"/>
      <c r="G67" s="210"/>
      <c r="H67" s="210">
        <f>'Deal Assumptions &amp; Analysis'!M83</f>
        <v>76293.534630784896</v>
      </c>
      <c r="I67" s="171">
        <f>H67+I45-I28</f>
        <v>107184.20060782575</v>
      </c>
      <c r="J67" s="171">
        <f t="shared" ref="J67:N67" si="25">I67+J45-J28</f>
        <v>158627.46647180291</v>
      </c>
      <c r="K67" s="171">
        <f t="shared" si="25"/>
        <v>220631.85910231798</v>
      </c>
      <c r="L67" s="171">
        <f t="shared" si="25"/>
        <v>292898.98393525736</v>
      </c>
      <c r="M67" s="171">
        <f t="shared" si="25"/>
        <v>370827.47537440574</v>
      </c>
      <c r="N67" s="171">
        <f t="shared" si="25"/>
        <v>455771.57247719454</v>
      </c>
    </row>
    <row r="68" spans="1:14" outlineLevel="1">
      <c r="A68" s="235" t="s">
        <v>50</v>
      </c>
      <c r="B68" s="235"/>
      <c r="C68" s="236"/>
      <c r="D68" s="222"/>
      <c r="E68" s="222"/>
      <c r="F68" s="235"/>
      <c r="G68" s="235"/>
      <c r="H68" s="235">
        <f>SUM(H66:H67)</f>
        <v>388481.03463078488</v>
      </c>
      <c r="I68" s="235">
        <f>SUM(I66:I67)</f>
        <v>419371.70060782577</v>
      </c>
      <c r="J68" s="235">
        <f t="shared" ref="J68:N68" si="26">SUM(J66:J67)</f>
        <v>470814.96647180291</v>
      </c>
      <c r="K68" s="235">
        <f t="shared" si="26"/>
        <v>532819.35910231795</v>
      </c>
      <c r="L68" s="235">
        <f t="shared" si="26"/>
        <v>605086.48393525742</v>
      </c>
      <c r="M68" s="235">
        <f t="shared" si="26"/>
        <v>683014.97537440574</v>
      </c>
      <c r="N68" s="235">
        <f t="shared" si="26"/>
        <v>767959.07247719448</v>
      </c>
    </row>
    <row r="69" spans="1:14" ht="17" outlineLevel="1" thickBot="1">
      <c r="A69" s="224" t="s">
        <v>53</v>
      </c>
      <c r="B69" s="224"/>
      <c r="C69" s="225"/>
      <c r="D69" s="226"/>
      <c r="E69" s="226"/>
      <c r="F69" s="224"/>
      <c r="G69" s="224"/>
      <c r="H69" s="224">
        <f>H64+H68</f>
        <v>604992.2393243548</v>
      </c>
      <c r="I69" s="224">
        <f>I64+I68</f>
        <v>636046.79527599784</v>
      </c>
      <c r="J69" s="224">
        <f t="shared" ref="J69:N69" si="27">J64+J68</f>
        <v>678381.62787080545</v>
      </c>
      <c r="K69" s="224">
        <f t="shared" si="27"/>
        <v>711783.77003861533</v>
      </c>
      <c r="L69" s="224">
        <f t="shared" si="27"/>
        <v>775512.0223570317</v>
      </c>
      <c r="M69" s="224">
        <f t="shared" si="27"/>
        <v>845055.46780154819</v>
      </c>
      <c r="N69" s="224">
        <f t="shared" si="27"/>
        <v>796132.15236210823</v>
      </c>
    </row>
    <row r="70" spans="1:14" ht="17" outlineLevel="1" thickTop="1">
      <c r="D70" s="194"/>
      <c r="E70" s="194"/>
      <c r="F70" s="194"/>
      <c r="G70" s="194"/>
      <c r="H70" s="194"/>
    </row>
    <row r="71" spans="1:14" outlineLevel="1">
      <c r="A71" s="177" t="s">
        <v>54</v>
      </c>
      <c r="B71" s="237"/>
      <c r="C71" s="238"/>
      <c r="D71" s="237"/>
      <c r="E71" s="237"/>
      <c r="F71" s="237"/>
      <c r="G71" s="237"/>
      <c r="H71" s="237">
        <f t="shared" ref="H71:M71" si="28">H69-H57</f>
        <v>0</v>
      </c>
      <c r="I71" s="237">
        <f t="shared" si="28"/>
        <v>0</v>
      </c>
      <c r="J71" s="237">
        <f t="shared" si="28"/>
        <v>0</v>
      </c>
      <c r="K71" s="237">
        <f t="shared" si="28"/>
        <v>0</v>
      </c>
      <c r="L71" s="237">
        <f t="shared" si="28"/>
        <v>0</v>
      </c>
      <c r="M71" s="237">
        <f t="shared" si="28"/>
        <v>0</v>
      </c>
      <c r="N71" s="237">
        <f>N69-N57</f>
        <v>0</v>
      </c>
    </row>
    <row r="72" spans="1:14" outlineLevel="1">
      <c r="A72" s="237"/>
      <c r="B72" s="237"/>
      <c r="C72" s="238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</row>
    <row r="73" spans="1:14">
      <c r="D73" s="194"/>
      <c r="E73" s="194"/>
      <c r="F73" s="194"/>
      <c r="G73" s="194"/>
      <c r="H73" s="194"/>
    </row>
    <row r="74" spans="1:14" ht="20">
      <c r="A74" s="189" t="s">
        <v>55</v>
      </c>
      <c r="B74" s="190"/>
      <c r="C74" s="191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</row>
    <row r="75" spans="1:14" outlineLevel="1">
      <c r="A75" s="208"/>
      <c r="D75" s="206"/>
      <c r="E75" s="194"/>
      <c r="F75" s="194"/>
      <c r="G75" s="194"/>
      <c r="H75" s="194"/>
    </row>
    <row r="76" spans="1:14" outlineLevel="1">
      <c r="A76" s="208" t="s">
        <v>56</v>
      </c>
      <c r="D76" s="194"/>
      <c r="E76" s="194"/>
      <c r="F76" s="194"/>
      <c r="G76" s="194"/>
      <c r="H76" s="210"/>
    </row>
    <row r="77" spans="1:14" outlineLevel="1">
      <c r="A77" s="171" t="s">
        <v>39</v>
      </c>
      <c r="C77" s="239"/>
      <c r="I77" s="171">
        <f>I45</f>
        <v>30890.665977040859</v>
      </c>
      <c r="J77" s="171">
        <f t="shared" ref="J77:N77" si="29">J45</f>
        <v>51443.265863977162</v>
      </c>
      <c r="K77" s="171">
        <f t="shared" si="29"/>
        <v>62004.39263051506</v>
      </c>
      <c r="L77" s="171">
        <f t="shared" si="29"/>
        <v>72767.124832939371</v>
      </c>
      <c r="M77" s="171">
        <f t="shared" si="29"/>
        <v>78428.491439148347</v>
      </c>
      <c r="N77" s="171">
        <f t="shared" si="29"/>
        <v>85444.097102788801</v>
      </c>
    </row>
    <row r="78" spans="1:14" outlineLevel="1">
      <c r="A78" s="171" t="s">
        <v>57</v>
      </c>
      <c r="I78" s="171">
        <f>I39</f>
        <v>10354.660323428572</v>
      </c>
      <c r="J78" s="171">
        <f t="shared" ref="J78:N78" si="30">J39</f>
        <v>14950.890898171428</v>
      </c>
      <c r="K78" s="171">
        <f t="shared" si="30"/>
        <v>16110.712718537143</v>
      </c>
      <c r="L78" s="171">
        <f t="shared" si="30"/>
        <v>17038.570174829714</v>
      </c>
      <c r="M78" s="171">
        <f t="shared" si="30"/>
        <v>17780.856139863772</v>
      </c>
      <c r="N78" s="171">
        <f t="shared" si="30"/>
        <v>18374.684911891018</v>
      </c>
    </row>
    <row r="79" spans="1:14" outlineLevel="1">
      <c r="A79" s="171" t="s">
        <v>58</v>
      </c>
      <c r="I79" s="171">
        <f>I106</f>
        <v>-582.24926080659498</v>
      </c>
      <c r="J79" s="171">
        <f t="shared" ref="J79:N79" si="31">J106</f>
        <v>5509.1388810931967</v>
      </c>
      <c r="K79" s="171">
        <f t="shared" si="31"/>
        <v>7449.0488558288962</v>
      </c>
      <c r="L79" s="171">
        <f t="shared" si="31"/>
        <v>4058.6294006557364</v>
      </c>
      <c r="M79" s="171">
        <f t="shared" si="31"/>
        <v>4204.4066557929837</v>
      </c>
      <c r="N79" s="171">
        <f t="shared" si="31"/>
        <v>3183.6051916909491</v>
      </c>
    </row>
    <row r="80" spans="1:14" outlineLevel="1">
      <c r="A80" s="215" t="s">
        <v>59</v>
      </c>
      <c r="B80" s="231"/>
      <c r="C80" s="240"/>
      <c r="D80" s="217"/>
      <c r="E80" s="217"/>
      <c r="F80" s="217"/>
      <c r="G80" s="217"/>
      <c r="H80" s="217"/>
      <c r="I80" s="217">
        <f>I77+I78-I79</f>
        <v>41827.575561276026</v>
      </c>
      <c r="J80" s="217">
        <f t="shared" ref="J80:N80" si="32">J77+J78-J79</f>
        <v>60885.017881055392</v>
      </c>
      <c r="K80" s="217">
        <f t="shared" si="32"/>
        <v>70666.05649322331</v>
      </c>
      <c r="L80" s="217">
        <f t="shared" si="32"/>
        <v>85747.065607113356</v>
      </c>
      <c r="M80" s="217">
        <f t="shared" si="32"/>
        <v>92004.940923219139</v>
      </c>
      <c r="N80" s="217">
        <f t="shared" si="32"/>
        <v>100635.17682298887</v>
      </c>
    </row>
    <row r="81" spans="1:14" outlineLevel="1">
      <c r="A81" s="204"/>
      <c r="B81" s="212"/>
      <c r="C81" s="213"/>
      <c r="D81" s="206"/>
      <c r="E81" s="206"/>
      <c r="F81" s="206"/>
      <c r="G81" s="206"/>
      <c r="H81" s="204"/>
      <c r="I81" s="204"/>
      <c r="J81" s="204"/>
      <c r="K81" s="204"/>
      <c r="L81" s="204"/>
      <c r="M81" s="204"/>
      <c r="N81" s="204"/>
    </row>
    <row r="82" spans="1:14" outlineLevel="1">
      <c r="A82" s="208" t="s">
        <v>60</v>
      </c>
      <c r="D82" s="197"/>
      <c r="E82" s="197"/>
      <c r="F82" s="197"/>
      <c r="G82" s="197"/>
      <c r="H82" s="212"/>
      <c r="I82" s="212"/>
      <c r="J82" s="212"/>
      <c r="K82" s="212"/>
      <c r="L82" s="212"/>
      <c r="M82" s="212"/>
      <c r="N82" s="212"/>
    </row>
    <row r="83" spans="1:14" outlineLevel="1">
      <c r="A83" s="171" t="s">
        <v>61</v>
      </c>
      <c r="D83" s="212"/>
      <c r="E83" s="212"/>
      <c r="F83" s="212"/>
      <c r="G83" s="212"/>
      <c r="H83" s="212"/>
      <c r="I83" s="212">
        <f>-I110</f>
        <v>-15414.285714285716</v>
      </c>
      <c r="J83" s="212">
        <f t="shared" ref="J83:N83" si="33">-J110</f>
        <v>-20750</v>
      </c>
      <c r="K83" s="212">
        <f t="shared" si="33"/>
        <v>-20750</v>
      </c>
      <c r="L83" s="212">
        <f t="shared" si="33"/>
        <v>-20750</v>
      </c>
      <c r="M83" s="212">
        <f t="shared" si="33"/>
        <v>-20750</v>
      </c>
      <c r="N83" s="212">
        <f t="shared" si="33"/>
        <v>-20750</v>
      </c>
    </row>
    <row r="84" spans="1:14" outlineLevel="1">
      <c r="A84" s="171" t="s">
        <v>188</v>
      </c>
      <c r="D84" s="212"/>
      <c r="E84" s="212"/>
      <c r="F84" s="212"/>
      <c r="G84" s="212"/>
    </row>
    <row r="85" spans="1:14" outlineLevel="1">
      <c r="A85" s="215" t="s">
        <v>62</v>
      </c>
      <c r="B85" s="231"/>
      <c r="C85" s="240"/>
      <c r="D85" s="217"/>
      <c r="E85" s="217"/>
      <c r="F85" s="217"/>
      <c r="G85" s="217"/>
      <c r="H85" s="217"/>
      <c r="I85" s="217">
        <f>SUM(I83:I84)</f>
        <v>-15414.285714285716</v>
      </c>
      <c r="J85" s="217">
        <f t="shared" ref="J85:N85" si="34">SUM(J83:J84)</f>
        <v>-20750</v>
      </c>
      <c r="K85" s="217">
        <f t="shared" si="34"/>
        <v>-20750</v>
      </c>
      <c r="L85" s="217">
        <f t="shared" si="34"/>
        <v>-20750</v>
      </c>
      <c r="M85" s="217">
        <f t="shared" si="34"/>
        <v>-20750</v>
      </c>
      <c r="N85" s="217">
        <f t="shared" si="34"/>
        <v>-20750</v>
      </c>
    </row>
    <row r="86" spans="1:14" outlineLevel="1">
      <c r="A86" s="204"/>
      <c r="B86" s="212"/>
      <c r="C86" s="213"/>
      <c r="D86" s="206"/>
      <c r="E86" s="206"/>
      <c r="F86" s="206"/>
      <c r="G86" s="206"/>
      <c r="H86" s="204"/>
      <c r="I86" s="204"/>
      <c r="J86" s="204"/>
      <c r="K86" s="204"/>
      <c r="L86" s="204"/>
      <c r="M86" s="204"/>
      <c r="N86" s="204"/>
    </row>
    <row r="87" spans="1:14" outlineLevel="1">
      <c r="A87" s="208" t="s">
        <v>63</v>
      </c>
      <c r="D87" s="197"/>
      <c r="E87" s="197"/>
      <c r="F87" s="197"/>
      <c r="G87" s="197"/>
      <c r="H87" s="212"/>
      <c r="I87" s="212"/>
      <c r="J87" s="212"/>
      <c r="K87" s="212"/>
      <c r="L87" s="212"/>
      <c r="M87" s="212"/>
      <c r="N87" s="212"/>
    </row>
    <row r="88" spans="1:14" outlineLevel="1">
      <c r="A88" s="171" t="s">
        <v>64</v>
      </c>
      <c r="D88" s="241"/>
      <c r="E88" s="241"/>
      <c r="F88" s="241"/>
      <c r="G88" s="241"/>
      <c r="H88" s="212"/>
      <c r="I88" s="212">
        <f>I142</f>
        <v>0</v>
      </c>
      <c r="J88" s="212">
        <f t="shared" ref="J88:N88" si="35">J142</f>
        <v>-10000</v>
      </c>
      <c r="K88" s="212">
        <f t="shared" si="35"/>
        <v>-30000</v>
      </c>
      <c r="L88" s="212">
        <f t="shared" si="35"/>
        <v>-10000</v>
      </c>
      <c r="M88" s="212">
        <f t="shared" si="35"/>
        <v>-10000</v>
      </c>
      <c r="N88" s="212">
        <f t="shared" si="35"/>
        <v>-135000</v>
      </c>
    </row>
    <row r="89" spans="1:14" outlineLevel="1">
      <c r="A89" s="171" t="s">
        <v>65</v>
      </c>
      <c r="D89" s="242"/>
      <c r="E89" s="242"/>
      <c r="F89" s="242"/>
      <c r="G89" s="242"/>
      <c r="H89" s="212"/>
      <c r="I89" s="212">
        <f>I27</f>
        <v>0</v>
      </c>
      <c r="J89" s="212">
        <f t="shared" ref="J89:N89" si="36">J27</f>
        <v>0</v>
      </c>
      <c r="K89" s="212">
        <f t="shared" si="36"/>
        <v>0</v>
      </c>
      <c r="L89" s="212">
        <f t="shared" si="36"/>
        <v>0</v>
      </c>
      <c r="M89" s="212">
        <f t="shared" si="36"/>
        <v>0</v>
      </c>
      <c r="N89" s="212">
        <f t="shared" si="36"/>
        <v>0</v>
      </c>
    </row>
    <row r="90" spans="1:14" outlineLevel="1">
      <c r="A90" s="171" t="s">
        <v>209</v>
      </c>
      <c r="D90" s="242"/>
      <c r="E90" s="242"/>
      <c r="F90" s="242"/>
      <c r="G90" s="242"/>
      <c r="H90" s="212"/>
      <c r="I90" s="212">
        <f>-I28</f>
        <v>0</v>
      </c>
      <c r="J90" s="212">
        <f t="shared" ref="J90:N90" si="37">-J28</f>
        <v>0</v>
      </c>
      <c r="K90" s="212">
        <f t="shared" si="37"/>
        <v>0</v>
      </c>
      <c r="L90" s="212">
        <f t="shared" si="37"/>
        <v>-500</v>
      </c>
      <c r="M90" s="212">
        <f t="shared" si="37"/>
        <v>-500</v>
      </c>
      <c r="N90" s="212">
        <f t="shared" si="37"/>
        <v>-500</v>
      </c>
    </row>
    <row r="91" spans="1:14" outlineLevel="1">
      <c r="A91" s="215" t="s">
        <v>66</v>
      </c>
      <c r="B91" s="231"/>
      <c r="C91" s="240"/>
      <c r="D91" s="217"/>
      <c r="E91" s="217"/>
      <c r="F91" s="217"/>
      <c r="G91" s="217"/>
      <c r="H91" s="215"/>
      <c r="I91" s="215">
        <f>SUM(I88:I90)</f>
        <v>0</v>
      </c>
      <c r="J91" s="215">
        <f t="shared" ref="J91:N91" si="38">SUM(J88:J90)</f>
        <v>-10000</v>
      </c>
      <c r="K91" s="215">
        <f t="shared" si="38"/>
        <v>-30000</v>
      </c>
      <c r="L91" s="215">
        <f t="shared" si="38"/>
        <v>-10500</v>
      </c>
      <c r="M91" s="215">
        <f t="shared" si="38"/>
        <v>-10500</v>
      </c>
      <c r="N91" s="215">
        <f t="shared" si="38"/>
        <v>-135500</v>
      </c>
    </row>
    <row r="92" spans="1:14" outlineLevel="1">
      <c r="A92" s="204"/>
      <c r="B92" s="212"/>
      <c r="C92" s="213"/>
      <c r="D92" s="206"/>
      <c r="E92" s="206"/>
      <c r="F92" s="206"/>
      <c r="G92" s="206"/>
      <c r="H92" s="204"/>
      <c r="I92" s="204"/>
      <c r="J92" s="204"/>
      <c r="K92" s="204"/>
      <c r="L92" s="204"/>
      <c r="M92" s="204"/>
      <c r="N92" s="204"/>
    </row>
    <row r="93" spans="1:14" outlineLevel="1">
      <c r="A93" s="171" t="s">
        <v>67</v>
      </c>
      <c r="D93" s="214"/>
      <c r="E93" s="214"/>
      <c r="F93" s="214"/>
      <c r="G93" s="214"/>
      <c r="H93" s="214"/>
      <c r="I93" s="214">
        <f>I80+I85+I91</f>
        <v>26413.289846990308</v>
      </c>
      <c r="J93" s="214">
        <f t="shared" ref="J93:N93" si="39">J80+J85+J91</f>
        <v>30135.017881055392</v>
      </c>
      <c r="K93" s="214">
        <f t="shared" si="39"/>
        <v>19916.05649322331</v>
      </c>
      <c r="L93" s="214">
        <f t="shared" si="39"/>
        <v>54497.065607113356</v>
      </c>
      <c r="M93" s="214">
        <f t="shared" si="39"/>
        <v>60754.940923219139</v>
      </c>
      <c r="N93" s="214">
        <f t="shared" si="39"/>
        <v>-55614.823177011131</v>
      </c>
    </row>
    <row r="94" spans="1:14" outlineLevel="1">
      <c r="A94" s="171" t="s">
        <v>68</v>
      </c>
      <c r="D94" s="242"/>
      <c r="E94" s="212"/>
      <c r="F94" s="212"/>
      <c r="G94" s="212"/>
      <c r="H94" s="212"/>
      <c r="I94" s="212">
        <f>H95</f>
        <v>100543.29503116112</v>
      </c>
      <c r="J94" s="212">
        <f t="shared" ref="J94:N94" si="40">I95</f>
        <v>126956.58487815142</v>
      </c>
      <c r="K94" s="212">
        <f t="shared" si="40"/>
        <v>157091.60275920681</v>
      </c>
      <c r="L94" s="212">
        <f t="shared" si="40"/>
        <v>177007.65925243014</v>
      </c>
      <c r="M94" s="212">
        <f t="shared" si="40"/>
        <v>231504.72485954349</v>
      </c>
      <c r="N94" s="212">
        <f t="shared" si="40"/>
        <v>292259.66578276263</v>
      </c>
    </row>
    <row r="95" spans="1:14" outlineLevel="1">
      <c r="A95" s="215" t="s">
        <v>69</v>
      </c>
      <c r="B95" s="231"/>
      <c r="C95" s="240"/>
      <c r="D95" s="217"/>
      <c r="E95" s="217"/>
      <c r="F95" s="217"/>
      <c r="G95" s="217"/>
      <c r="H95" s="217">
        <f>H51</f>
        <v>100543.29503116112</v>
      </c>
      <c r="I95" s="217">
        <f>I93+I94</f>
        <v>126956.58487815142</v>
      </c>
      <c r="J95" s="217">
        <f t="shared" ref="J95:N95" si="41">J93+J94</f>
        <v>157091.60275920681</v>
      </c>
      <c r="K95" s="217">
        <f t="shared" si="41"/>
        <v>177007.65925243014</v>
      </c>
      <c r="L95" s="217">
        <f t="shared" si="41"/>
        <v>231504.72485954349</v>
      </c>
      <c r="M95" s="217">
        <f t="shared" si="41"/>
        <v>292259.66578276263</v>
      </c>
      <c r="N95" s="217">
        <f t="shared" si="41"/>
        <v>236644.8426057515</v>
      </c>
    </row>
    <row r="96" spans="1:14" outlineLevel="1">
      <c r="A96" s="208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</row>
    <row r="97" spans="1:14" outlineLevel="1">
      <c r="A97" s="208"/>
      <c r="D97" s="206"/>
      <c r="E97" s="194"/>
      <c r="F97" s="194"/>
      <c r="G97" s="194"/>
      <c r="H97" s="194"/>
    </row>
    <row r="98" spans="1:14">
      <c r="D98" s="194"/>
      <c r="E98" s="194"/>
      <c r="F98" s="194"/>
      <c r="G98" s="194"/>
      <c r="H98" s="194"/>
    </row>
    <row r="99" spans="1:14" ht="20">
      <c r="A99" s="189" t="s">
        <v>70</v>
      </c>
      <c r="B99" s="190"/>
      <c r="C99" s="191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</row>
    <row r="100" spans="1:14" outlineLevel="1">
      <c r="D100" s="194"/>
      <c r="E100" s="194"/>
      <c r="F100" s="194"/>
      <c r="G100" s="194"/>
      <c r="H100" s="194"/>
    </row>
    <row r="101" spans="1:14" outlineLevel="1">
      <c r="A101" s="208" t="s">
        <v>71</v>
      </c>
      <c r="D101" s="194"/>
      <c r="E101" s="194"/>
      <c r="F101" s="194"/>
      <c r="G101" s="194"/>
      <c r="H101" s="194"/>
    </row>
    <row r="102" spans="1:14" outlineLevel="1">
      <c r="A102" s="171" t="s">
        <v>43</v>
      </c>
      <c r="D102" s="243"/>
      <c r="E102" s="243"/>
      <c r="F102" s="243"/>
      <c r="G102" s="243"/>
      <c r="H102" s="243">
        <f>H52</f>
        <v>14145.261000887524</v>
      </c>
      <c r="I102" s="243">
        <f t="shared" ref="I102:N102" si="42">I52</f>
        <v>13523.275677419355</v>
      </c>
      <c r="J102" s="243">
        <f t="shared" si="42"/>
        <v>14599.874466195317</v>
      </c>
      <c r="K102" s="243">
        <f t="shared" si="42"/>
        <v>16272.576434467524</v>
      </c>
      <c r="L102" s="243">
        <f t="shared" si="42"/>
        <v>17843.340116608499</v>
      </c>
      <c r="M102" s="243">
        <f t="shared" si="42"/>
        <v>19297.960222720572</v>
      </c>
      <c r="N102" s="243">
        <f t="shared" si="42"/>
        <v>20553.105689017153</v>
      </c>
    </row>
    <row r="103" spans="1:14" outlineLevel="1">
      <c r="A103" s="171" t="s">
        <v>44</v>
      </c>
      <c r="D103" s="243"/>
      <c r="E103" s="243"/>
      <c r="F103" s="243"/>
      <c r="G103" s="243"/>
      <c r="H103" s="243">
        <f>H53</f>
        <v>25039.821893919063</v>
      </c>
      <c r="I103" s="243">
        <f t="shared" ref="I103:N103" si="43">I53</f>
        <v>25243.447931182793</v>
      </c>
      <c r="J103" s="243">
        <f t="shared" si="43"/>
        <v>30567.554754330533</v>
      </c>
      <c r="K103" s="243">
        <f t="shared" si="43"/>
        <v>37741.651179182008</v>
      </c>
      <c r="L103" s="243">
        <f t="shared" si="43"/>
        <v>41690.644383173712</v>
      </c>
      <c r="M103" s="243">
        <f t="shared" si="43"/>
        <v>46055.384938222764</v>
      </c>
      <c r="N103" s="243">
        <f t="shared" si="43"/>
        <v>49116.43212138841</v>
      </c>
    </row>
    <row r="104" spans="1:14" outlineLevel="1">
      <c r="A104" s="171" t="s">
        <v>48</v>
      </c>
      <c r="D104" s="243"/>
      <c r="E104" s="243"/>
      <c r="F104" s="243"/>
      <c r="G104" s="243"/>
      <c r="H104" s="243">
        <f>H61</f>
        <v>11511.204693569893</v>
      </c>
      <c r="I104" s="243">
        <f t="shared" ref="I104:N104" si="44">I61</f>
        <v>11675.094668172042</v>
      </c>
      <c r="J104" s="243">
        <f t="shared" si="44"/>
        <v>12566.661399002554</v>
      </c>
      <c r="K104" s="243">
        <f t="shared" si="44"/>
        <v>13964.410936297343</v>
      </c>
      <c r="L104" s="243">
        <f t="shared" si="44"/>
        <v>15425.538421774276</v>
      </c>
      <c r="M104" s="243">
        <f t="shared" si="44"/>
        <v>17040.492427142421</v>
      </c>
      <c r="N104" s="243">
        <f t="shared" si="44"/>
        <v>18173.07988491371</v>
      </c>
    </row>
    <row r="105" spans="1:14" outlineLevel="1">
      <c r="A105" s="231" t="s">
        <v>72</v>
      </c>
      <c r="B105" s="231"/>
      <c r="C105" s="240"/>
      <c r="D105" s="234"/>
      <c r="E105" s="244"/>
      <c r="F105" s="244"/>
      <c r="G105" s="244"/>
      <c r="H105" s="244">
        <f>H102+H103-H104</f>
        <v>27673.878201236697</v>
      </c>
      <c r="I105" s="244">
        <f t="shared" ref="I105:N105" si="45">I102+I103-I104</f>
        <v>27091.628940430102</v>
      </c>
      <c r="J105" s="244">
        <f t="shared" si="45"/>
        <v>32600.767821523299</v>
      </c>
      <c r="K105" s="244">
        <f t="shared" si="45"/>
        <v>40049.816677352195</v>
      </c>
      <c r="L105" s="244">
        <f t="shared" si="45"/>
        <v>44108.446078007932</v>
      </c>
      <c r="M105" s="244">
        <f t="shared" si="45"/>
        <v>48312.852733800915</v>
      </c>
      <c r="N105" s="244">
        <f t="shared" si="45"/>
        <v>51496.457925491864</v>
      </c>
    </row>
    <row r="106" spans="1:14" outlineLevel="1">
      <c r="A106" s="171" t="s">
        <v>73</v>
      </c>
      <c r="D106" s="211"/>
      <c r="E106" s="243"/>
      <c r="F106" s="243"/>
      <c r="G106" s="243"/>
      <c r="H106" s="243"/>
      <c r="I106" s="243">
        <f>I105-H105</f>
        <v>-582.24926080659498</v>
      </c>
      <c r="J106" s="243">
        <f t="shared" ref="J106:N106" si="46">J105-I105</f>
        <v>5509.1388810931967</v>
      </c>
      <c r="K106" s="243">
        <f t="shared" si="46"/>
        <v>7449.0488558288962</v>
      </c>
      <c r="L106" s="243">
        <f t="shared" si="46"/>
        <v>4058.6294006557364</v>
      </c>
      <c r="M106" s="243">
        <f t="shared" si="46"/>
        <v>4204.4066557929837</v>
      </c>
      <c r="N106" s="243">
        <f t="shared" si="46"/>
        <v>3183.6051916909491</v>
      </c>
    </row>
    <row r="107" spans="1:14" outlineLevel="1">
      <c r="D107" s="194"/>
      <c r="E107" s="194"/>
      <c r="F107" s="194"/>
      <c r="G107" s="194"/>
      <c r="H107" s="194"/>
      <c r="I107" s="243"/>
      <c r="J107" s="243"/>
      <c r="K107" s="243"/>
      <c r="L107" s="243"/>
      <c r="M107" s="243"/>
      <c r="N107" s="243"/>
    </row>
    <row r="108" spans="1:14" outlineLevel="1">
      <c r="A108" s="208" t="s">
        <v>74</v>
      </c>
      <c r="D108" s="194"/>
      <c r="E108" s="194"/>
      <c r="F108" s="194"/>
      <c r="G108" s="194"/>
      <c r="H108" s="194"/>
      <c r="I108" s="243"/>
      <c r="J108" s="243"/>
      <c r="K108" s="243"/>
      <c r="L108" s="243"/>
      <c r="M108" s="243"/>
      <c r="N108" s="243"/>
    </row>
    <row r="109" spans="1:14" outlineLevel="1">
      <c r="A109" s="171" t="s">
        <v>75</v>
      </c>
      <c r="D109" s="242"/>
      <c r="E109" s="241"/>
      <c r="F109" s="241"/>
      <c r="G109" s="241"/>
      <c r="H109" s="241"/>
      <c r="I109" s="245">
        <f>H112</f>
        <v>69694.829100000003</v>
      </c>
      <c r="J109" s="245">
        <f t="shared" ref="J109:N109" si="47">I112</f>
        <v>74754.454490857141</v>
      </c>
      <c r="K109" s="245">
        <f t="shared" si="47"/>
        <v>80553.563592685707</v>
      </c>
      <c r="L109" s="245">
        <f t="shared" si="47"/>
        <v>85192.850874148571</v>
      </c>
      <c r="M109" s="245">
        <f t="shared" si="47"/>
        <v>88904.280699318857</v>
      </c>
      <c r="N109" s="245">
        <f t="shared" si="47"/>
        <v>91873.424559455088</v>
      </c>
    </row>
    <row r="110" spans="1:14" outlineLevel="1">
      <c r="A110" s="171" t="s">
        <v>76</v>
      </c>
      <c r="D110" s="242"/>
      <c r="E110" s="242"/>
      <c r="F110" s="242"/>
      <c r="G110" s="242"/>
      <c r="H110" s="242"/>
      <c r="I110" s="246">
        <f>('Acquirer Model'!I140+'Target Model'!I140)*'Pro Forma Model'!I6</f>
        <v>15414.285714285716</v>
      </c>
      <c r="J110" s="246">
        <f>('Acquirer Model'!J140+'Target Model'!J140)*'Pro Forma Model'!J6</f>
        <v>20750</v>
      </c>
      <c r="K110" s="246">
        <f>('Acquirer Model'!K140+'Target Model'!K140)*'Pro Forma Model'!K6</f>
        <v>20750</v>
      </c>
      <c r="L110" s="246">
        <f>('Acquirer Model'!L140+'Target Model'!L140)*'Pro Forma Model'!L6</f>
        <v>20750</v>
      </c>
      <c r="M110" s="246">
        <f>('Acquirer Model'!M140+'Target Model'!M140)*'Pro Forma Model'!M6</f>
        <v>20750</v>
      </c>
      <c r="N110" s="246">
        <f>('Acquirer Model'!N140+'Target Model'!N140)*'Pro Forma Model'!N6</f>
        <v>20750</v>
      </c>
    </row>
    <row r="111" spans="1:14" outlineLevel="1">
      <c r="A111" s="171" t="s">
        <v>77</v>
      </c>
      <c r="C111" s="227"/>
      <c r="D111" s="242"/>
      <c r="E111" s="242"/>
      <c r="F111" s="242"/>
      <c r="G111" s="242"/>
      <c r="H111" s="242"/>
      <c r="I111" s="247">
        <f>I109*I21*I6</f>
        <v>10354.660323428572</v>
      </c>
      <c r="J111" s="247">
        <f t="shared" ref="J111:N111" si="48">J109*J21*J6</f>
        <v>14950.890898171428</v>
      </c>
      <c r="K111" s="247">
        <f t="shared" si="48"/>
        <v>16110.712718537143</v>
      </c>
      <c r="L111" s="247">
        <f t="shared" si="48"/>
        <v>17038.570174829714</v>
      </c>
      <c r="M111" s="247">
        <f t="shared" si="48"/>
        <v>17780.856139863772</v>
      </c>
      <c r="N111" s="247">
        <f t="shared" si="48"/>
        <v>18374.684911891018</v>
      </c>
    </row>
    <row r="112" spans="1:14" outlineLevel="1">
      <c r="A112" s="231" t="s">
        <v>78</v>
      </c>
      <c r="B112" s="231"/>
      <c r="C112" s="240"/>
      <c r="D112" s="234"/>
      <c r="E112" s="234"/>
      <c r="F112" s="234"/>
      <c r="G112" s="234"/>
      <c r="H112" s="244">
        <f>H55</f>
        <v>69694.829100000003</v>
      </c>
      <c r="I112" s="244">
        <f>I109+I110-I111</f>
        <v>74754.454490857141</v>
      </c>
      <c r="J112" s="244">
        <f t="shared" ref="J112:N112" si="49">J109+J110-J111</f>
        <v>80553.563592685707</v>
      </c>
      <c r="K112" s="244">
        <f t="shared" si="49"/>
        <v>85192.850874148571</v>
      </c>
      <c r="L112" s="244">
        <f t="shared" si="49"/>
        <v>88904.280699318857</v>
      </c>
      <c r="M112" s="244">
        <f t="shared" si="49"/>
        <v>91873.424559455088</v>
      </c>
      <c r="N112" s="244">
        <f t="shared" si="49"/>
        <v>94248.739647564071</v>
      </c>
    </row>
    <row r="113" spans="1:14" outlineLevel="1">
      <c r="D113" s="194"/>
      <c r="E113" s="194"/>
      <c r="F113" s="194"/>
      <c r="G113" s="194"/>
      <c r="H113" s="194"/>
      <c r="I113" s="243"/>
      <c r="J113" s="243"/>
      <c r="K113" s="243"/>
      <c r="L113" s="243"/>
      <c r="M113" s="243"/>
      <c r="N113" s="243"/>
    </row>
    <row r="114" spans="1:14" outlineLevel="1">
      <c r="A114" s="276" t="s">
        <v>204</v>
      </c>
      <c r="B114" s="277"/>
      <c r="C114" s="278"/>
      <c r="D114" s="279"/>
      <c r="E114" s="279"/>
      <c r="F114" s="279"/>
      <c r="G114" s="279"/>
      <c r="H114" s="279"/>
      <c r="I114" s="280"/>
      <c r="J114" s="280"/>
      <c r="K114" s="280"/>
      <c r="L114" s="280"/>
      <c r="M114" s="280"/>
      <c r="N114" s="280"/>
    </row>
    <row r="115" spans="1:14" outlineLevel="1">
      <c r="A115" s="21" t="s">
        <v>122</v>
      </c>
      <c r="D115" s="194"/>
      <c r="E115" s="194"/>
      <c r="F115" s="194"/>
      <c r="G115" s="194"/>
      <c r="H115" s="194"/>
      <c r="I115" s="243"/>
      <c r="J115" s="243"/>
      <c r="K115" s="243"/>
      <c r="L115" s="243"/>
      <c r="M115" s="243"/>
      <c r="N115" s="243"/>
    </row>
    <row r="116" spans="1:14" outlineLevel="1">
      <c r="A116" s="171" t="s">
        <v>193</v>
      </c>
      <c r="D116" s="194"/>
      <c r="E116" s="194"/>
      <c r="F116" s="194"/>
      <c r="G116" s="194"/>
      <c r="I116" s="243">
        <f>H118</f>
        <v>100000</v>
      </c>
      <c r="J116" s="243">
        <f t="shared" ref="J116:N116" si="50">I118</f>
        <v>100000</v>
      </c>
      <c r="K116" s="243">
        <f t="shared" si="50"/>
        <v>100000</v>
      </c>
      <c r="L116" s="243">
        <f t="shared" si="50"/>
        <v>100000</v>
      </c>
      <c r="M116" s="243">
        <f t="shared" si="50"/>
        <v>100000</v>
      </c>
      <c r="N116" s="243">
        <f t="shared" si="50"/>
        <v>100000</v>
      </c>
    </row>
    <row r="117" spans="1:14" outlineLevel="1">
      <c r="A117" s="171" t="s">
        <v>194</v>
      </c>
      <c r="D117" s="194"/>
      <c r="E117" s="194"/>
      <c r="F117" s="194"/>
      <c r="G117" s="194"/>
      <c r="I117" s="243">
        <f>-$H$118*I12</f>
        <v>0</v>
      </c>
      <c r="J117" s="243">
        <f t="shared" ref="J117:N117" si="51">-$H$118*J12</f>
        <v>0</v>
      </c>
      <c r="K117" s="243">
        <f t="shared" si="51"/>
        <v>0</v>
      </c>
      <c r="L117" s="243">
        <f t="shared" si="51"/>
        <v>0</v>
      </c>
      <c r="M117" s="243">
        <f t="shared" si="51"/>
        <v>0</v>
      </c>
      <c r="N117" s="243">
        <f t="shared" si="51"/>
        <v>-100000</v>
      </c>
    </row>
    <row r="118" spans="1:14" outlineLevel="1">
      <c r="A118" s="231" t="s">
        <v>195</v>
      </c>
      <c r="B118" s="231"/>
      <c r="C118" s="240"/>
      <c r="D118" s="196"/>
      <c r="E118" s="196"/>
      <c r="F118" s="196"/>
      <c r="G118" s="196"/>
      <c r="H118" s="275">
        <f>'Deal Assumptions &amp; Analysis'!H21</f>
        <v>100000</v>
      </c>
      <c r="I118" s="248">
        <f>SUM(I116:I117)</f>
        <v>100000</v>
      </c>
      <c r="J118" s="248">
        <f t="shared" ref="J118:N118" si="52">SUM(J116:J117)</f>
        <v>100000</v>
      </c>
      <c r="K118" s="248">
        <f t="shared" si="52"/>
        <v>100000</v>
      </c>
      <c r="L118" s="248">
        <f t="shared" si="52"/>
        <v>100000</v>
      </c>
      <c r="M118" s="248">
        <f t="shared" si="52"/>
        <v>100000</v>
      </c>
      <c r="N118" s="248">
        <f t="shared" si="52"/>
        <v>0</v>
      </c>
    </row>
    <row r="119" spans="1:14" outlineLevel="1">
      <c r="A119" s="208"/>
      <c r="D119" s="194"/>
      <c r="E119" s="194"/>
      <c r="F119" s="194"/>
      <c r="G119" s="194"/>
      <c r="H119" s="194"/>
      <c r="I119" s="243"/>
      <c r="J119" s="243"/>
      <c r="K119" s="243"/>
      <c r="L119" s="243"/>
      <c r="M119" s="243"/>
      <c r="N119" s="243"/>
    </row>
    <row r="120" spans="1:14" outlineLevel="1">
      <c r="A120" s="21" t="s">
        <v>123</v>
      </c>
      <c r="D120" s="194"/>
      <c r="E120" s="194"/>
      <c r="F120" s="194"/>
      <c r="G120" s="194"/>
      <c r="H120" s="194"/>
      <c r="I120" s="243"/>
      <c r="J120" s="243"/>
      <c r="K120" s="243"/>
      <c r="L120" s="243"/>
      <c r="M120" s="243"/>
      <c r="N120" s="243"/>
    </row>
    <row r="121" spans="1:14" outlineLevel="1">
      <c r="A121" s="171" t="s">
        <v>193</v>
      </c>
      <c r="D121" s="194"/>
      <c r="E121" s="194"/>
      <c r="F121" s="194"/>
      <c r="G121" s="194"/>
      <c r="H121" s="194"/>
      <c r="I121" s="243">
        <f>H123</f>
        <v>50000</v>
      </c>
      <c r="J121" s="243">
        <f t="shared" ref="J121:N121" si="53">I123</f>
        <v>50000</v>
      </c>
      <c r="K121" s="243">
        <f t="shared" si="53"/>
        <v>40000</v>
      </c>
      <c r="L121" s="243">
        <f t="shared" si="53"/>
        <v>30000</v>
      </c>
      <c r="M121" s="243">
        <f t="shared" si="53"/>
        <v>20000</v>
      </c>
      <c r="N121" s="243">
        <f t="shared" si="53"/>
        <v>10000</v>
      </c>
    </row>
    <row r="122" spans="1:14" outlineLevel="1">
      <c r="A122" s="171" t="s">
        <v>194</v>
      </c>
      <c r="D122" s="194"/>
      <c r="E122" s="194"/>
      <c r="F122" s="194"/>
      <c r="G122" s="194"/>
      <c r="H122" s="194"/>
      <c r="I122" s="243">
        <f>-$H$123*I13</f>
        <v>0</v>
      </c>
      <c r="J122" s="243">
        <f t="shared" ref="J122:N122" si="54">-$H$123*J13</f>
        <v>-10000</v>
      </c>
      <c r="K122" s="243">
        <f t="shared" si="54"/>
        <v>-10000</v>
      </c>
      <c r="L122" s="243">
        <f t="shared" si="54"/>
        <v>-10000</v>
      </c>
      <c r="M122" s="243">
        <f t="shared" si="54"/>
        <v>-10000</v>
      </c>
      <c r="N122" s="243">
        <f t="shared" si="54"/>
        <v>-10000</v>
      </c>
    </row>
    <row r="123" spans="1:14" outlineLevel="1">
      <c r="A123" s="231" t="s">
        <v>195</v>
      </c>
      <c r="B123" s="231"/>
      <c r="C123" s="240"/>
      <c r="D123" s="196"/>
      <c r="E123" s="196"/>
      <c r="F123" s="196"/>
      <c r="G123" s="196"/>
      <c r="H123" s="275">
        <f>'Deal Assumptions &amp; Analysis'!H22</f>
        <v>50000</v>
      </c>
      <c r="I123" s="248">
        <f>SUM(I121:I122)</f>
        <v>50000</v>
      </c>
      <c r="J123" s="248">
        <f t="shared" ref="J123:N123" si="55">SUM(J121:J122)</f>
        <v>40000</v>
      </c>
      <c r="K123" s="248">
        <f t="shared" si="55"/>
        <v>30000</v>
      </c>
      <c r="L123" s="248">
        <f t="shared" si="55"/>
        <v>20000</v>
      </c>
      <c r="M123" s="248">
        <f t="shared" si="55"/>
        <v>10000</v>
      </c>
      <c r="N123" s="248">
        <f t="shared" si="55"/>
        <v>0</v>
      </c>
    </row>
    <row r="124" spans="1:14" outlineLevel="1">
      <c r="A124" s="208"/>
      <c r="D124" s="194"/>
      <c r="E124" s="194"/>
      <c r="F124" s="194"/>
      <c r="G124" s="194"/>
      <c r="H124" s="194"/>
      <c r="I124" s="243"/>
      <c r="J124" s="243"/>
      <c r="K124" s="243"/>
      <c r="L124" s="243"/>
      <c r="M124" s="243"/>
      <c r="N124" s="243"/>
    </row>
    <row r="125" spans="1:14" outlineLevel="1">
      <c r="A125" s="21" t="s">
        <v>124</v>
      </c>
      <c r="D125" s="194"/>
      <c r="E125" s="194"/>
      <c r="F125" s="194"/>
      <c r="G125" s="194"/>
      <c r="H125" s="194"/>
      <c r="I125" s="243"/>
      <c r="J125" s="243"/>
      <c r="K125" s="243"/>
      <c r="L125" s="243"/>
      <c r="M125" s="243"/>
      <c r="N125" s="243"/>
    </row>
    <row r="126" spans="1:14" outlineLevel="1">
      <c r="A126" s="171" t="s">
        <v>193</v>
      </c>
      <c r="D126" s="194"/>
      <c r="E126" s="194"/>
      <c r="F126" s="194"/>
      <c r="G126" s="194"/>
      <c r="H126" s="194"/>
      <c r="I126" s="243">
        <f>H128</f>
        <v>25000</v>
      </c>
      <c r="J126" s="243">
        <f t="shared" ref="J126:N126" si="56">I128</f>
        <v>25000</v>
      </c>
      <c r="K126" s="243">
        <f t="shared" si="56"/>
        <v>25000</v>
      </c>
      <c r="L126" s="243">
        <f t="shared" si="56"/>
        <v>25000</v>
      </c>
      <c r="M126" s="243">
        <f t="shared" si="56"/>
        <v>25000</v>
      </c>
      <c r="N126" s="243">
        <f t="shared" si="56"/>
        <v>25000</v>
      </c>
    </row>
    <row r="127" spans="1:14" outlineLevel="1">
      <c r="A127" s="171" t="s">
        <v>194</v>
      </c>
      <c r="D127" s="194"/>
      <c r="E127" s="194"/>
      <c r="F127" s="194"/>
      <c r="G127" s="194"/>
      <c r="H127" s="194"/>
      <c r="I127" s="243">
        <f>-$H$128*I14</f>
        <v>0</v>
      </c>
      <c r="J127" s="243">
        <f t="shared" ref="J127:N127" si="57">-$H$128*J14</f>
        <v>0</v>
      </c>
      <c r="K127" s="243">
        <f t="shared" si="57"/>
        <v>0</v>
      </c>
      <c r="L127" s="243">
        <f t="shared" si="57"/>
        <v>0</v>
      </c>
      <c r="M127" s="243">
        <f t="shared" si="57"/>
        <v>0</v>
      </c>
      <c r="N127" s="243">
        <f t="shared" si="57"/>
        <v>-25000</v>
      </c>
    </row>
    <row r="128" spans="1:14" outlineLevel="1">
      <c r="A128" s="231" t="s">
        <v>195</v>
      </c>
      <c r="B128" s="231"/>
      <c r="C128" s="240"/>
      <c r="D128" s="196"/>
      <c r="E128" s="196"/>
      <c r="F128" s="196"/>
      <c r="G128" s="196"/>
      <c r="H128" s="275">
        <f>'Deal Assumptions &amp; Analysis'!H23</f>
        <v>25000</v>
      </c>
      <c r="I128" s="248">
        <f>SUM(I126:I127)</f>
        <v>25000</v>
      </c>
      <c r="J128" s="248">
        <f t="shared" ref="J128:N128" si="58">SUM(J126:J127)</f>
        <v>25000</v>
      </c>
      <c r="K128" s="248">
        <f t="shared" si="58"/>
        <v>25000</v>
      </c>
      <c r="L128" s="248">
        <f t="shared" si="58"/>
        <v>25000</v>
      </c>
      <c r="M128" s="248">
        <f t="shared" si="58"/>
        <v>25000</v>
      </c>
      <c r="N128" s="248">
        <f t="shared" si="58"/>
        <v>0</v>
      </c>
    </row>
    <row r="129" spans="1:14" outlineLevel="1">
      <c r="A129" s="212"/>
      <c r="B129" s="212"/>
      <c r="C129" s="213"/>
      <c r="D129" s="197"/>
      <c r="E129" s="197"/>
      <c r="F129" s="197"/>
      <c r="G129" s="197"/>
      <c r="H129" s="197"/>
      <c r="I129" s="243"/>
      <c r="J129" s="243"/>
      <c r="K129" s="243"/>
      <c r="L129" s="243"/>
      <c r="M129" s="243"/>
      <c r="N129" s="243"/>
    </row>
    <row r="130" spans="1:14" outlineLevel="1">
      <c r="A130" s="21" t="s">
        <v>137</v>
      </c>
      <c r="D130" s="194"/>
      <c r="E130" s="194"/>
      <c r="F130" s="194"/>
      <c r="G130" s="194"/>
      <c r="H130" s="194"/>
      <c r="I130" s="243"/>
      <c r="J130" s="243"/>
      <c r="K130" s="243"/>
      <c r="L130" s="243"/>
      <c r="M130" s="243"/>
      <c r="N130" s="243"/>
    </row>
    <row r="131" spans="1:14" outlineLevel="1">
      <c r="A131" s="171" t="s">
        <v>193</v>
      </c>
      <c r="D131" s="194"/>
      <c r="E131" s="194"/>
      <c r="F131" s="194"/>
      <c r="G131" s="194"/>
      <c r="H131" s="194"/>
      <c r="I131" s="243">
        <f>H133</f>
        <v>0</v>
      </c>
      <c r="J131" s="243">
        <f t="shared" ref="J131:N131" si="59">I133</f>
        <v>0</v>
      </c>
      <c r="K131" s="243">
        <f t="shared" si="59"/>
        <v>0</v>
      </c>
      <c r="L131" s="243">
        <f t="shared" si="59"/>
        <v>0</v>
      </c>
      <c r="M131" s="243">
        <f t="shared" si="59"/>
        <v>0</v>
      </c>
      <c r="N131" s="243">
        <f t="shared" si="59"/>
        <v>0</v>
      </c>
    </row>
    <row r="132" spans="1:14" outlineLevel="1">
      <c r="A132" s="171" t="s">
        <v>194</v>
      </c>
      <c r="D132" s="194"/>
      <c r="E132" s="194"/>
      <c r="F132" s="194"/>
      <c r="G132" s="194"/>
      <c r="H132" s="194"/>
      <c r="I132" s="242">
        <f>IF(I131&gt;0,'Target Model'!I146,0)</f>
        <v>0</v>
      </c>
      <c r="J132" s="242">
        <f>IF(J131&gt;0,'Target Model'!J146,0)</f>
        <v>0</v>
      </c>
      <c r="K132" s="242">
        <f>IF(K131&gt;0,'Target Model'!K146,0)</f>
        <v>0</v>
      </c>
      <c r="L132" s="242">
        <f>IF(L131&gt;0,'Target Model'!L146,0)</f>
        <v>0</v>
      </c>
      <c r="M132" s="242">
        <f>IF(M131&gt;0,'Target Model'!M146,0)</f>
        <v>0</v>
      </c>
      <c r="N132" s="242">
        <f>IF(N131&gt;0,'Target Model'!N146,0)</f>
        <v>0</v>
      </c>
    </row>
    <row r="133" spans="1:14" outlineLevel="1">
      <c r="A133" s="231" t="s">
        <v>195</v>
      </c>
      <c r="B133" s="231"/>
      <c r="C133" s="240"/>
      <c r="D133" s="196"/>
      <c r="E133" s="196"/>
      <c r="F133" s="196"/>
      <c r="G133" s="196"/>
      <c r="H133" s="275">
        <f>'Deal Assumptions &amp; Analysis'!E76+'Deal Assumptions &amp; Analysis'!E79-'Deal Assumptions &amp; Analysis'!M40</f>
        <v>0</v>
      </c>
      <c r="I133" s="248">
        <f>SUM(I131:I132)</f>
        <v>0</v>
      </c>
      <c r="J133" s="248">
        <f t="shared" ref="J133:N133" si="60">SUM(J131:J132)</f>
        <v>0</v>
      </c>
      <c r="K133" s="248">
        <f t="shared" si="60"/>
        <v>0</v>
      </c>
      <c r="L133" s="248">
        <f t="shared" si="60"/>
        <v>0</v>
      </c>
      <c r="M133" s="248">
        <f t="shared" si="60"/>
        <v>0</v>
      </c>
      <c r="N133" s="248">
        <f t="shared" si="60"/>
        <v>0</v>
      </c>
    </row>
    <row r="134" spans="1:14" outlineLevel="1">
      <c r="D134" s="194"/>
      <c r="E134" s="194"/>
      <c r="F134" s="194"/>
      <c r="G134" s="194"/>
      <c r="H134" s="194"/>
      <c r="I134" s="243"/>
      <c r="J134" s="243"/>
      <c r="K134" s="243"/>
      <c r="L134" s="243"/>
      <c r="M134" s="243"/>
      <c r="N134" s="243"/>
    </row>
    <row r="135" spans="1:14" outlineLevel="1">
      <c r="A135" s="21" t="s">
        <v>200</v>
      </c>
      <c r="D135" s="194"/>
      <c r="E135" s="194"/>
      <c r="F135" s="194"/>
      <c r="G135" s="194"/>
      <c r="H135" s="194"/>
      <c r="I135" s="243"/>
      <c r="J135" s="243"/>
      <c r="K135" s="243"/>
      <c r="L135" s="243"/>
      <c r="M135" s="243"/>
      <c r="N135" s="243"/>
    </row>
    <row r="136" spans="1:14" outlineLevel="1">
      <c r="A136" s="171" t="s">
        <v>193</v>
      </c>
      <c r="D136" s="194"/>
      <c r="E136" s="194"/>
      <c r="F136" s="194"/>
      <c r="G136" s="194"/>
      <c r="H136" s="194"/>
      <c r="I136" s="243">
        <f>H138</f>
        <v>30000</v>
      </c>
      <c r="J136" s="243">
        <f t="shared" ref="J136:N136" si="61">I138</f>
        <v>30000</v>
      </c>
      <c r="K136" s="243">
        <f t="shared" si="61"/>
        <v>30000</v>
      </c>
      <c r="L136" s="243">
        <f t="shared" si="61"/>
        <v>10000</v>
      </c>
      <c r="M136" s="243">
        <f t="shared" si="61"/>
        <v>10000</v>
      </c>
      <c r="N136" s="243">
        <f t="shared" si="61"/>
        <v>10000</v>
      </c>
    </row>
    <row r="137" spans="1:14" outlineLevel="1">
      <c r="A137" s="171" t="s">
        <v>194</v>
      </c>
      <c r="D137" s="194"/>
      <c r="E137" s="194"/>
      <c r="F137" s="194"/>
      <c r="G137" s="194"/>
      <c r="H137" s="194"/>
      <c r="I137" s="242">
        <f>IF(I136&gt;0,'Acquirer Model'!I146,0)</f>
        <v>0</v>
      </c>
      <c r="J137" s="242">
        <f>IF(J136&gt;0,'Acquirer Model'!J146,0)</f>
        <v>0</v>
      </c>
      <c r="K137" s="242">
        <f>IF(K136&gt;0,'Acquirer Model'!K146,0)</f>
        <v>-20000</v>
      </c>
      <c r="L137" s="242">
        <f>IF(L136&gt;0,'Acquirer Model'!L146,0)</f>
        <v>0</v>
      </c>
      <c r="M137" s="242">
        <f>IF(M136&gt;0,'Acquirer Model'!M146,0)</f>
        <v>0</v>
      </c>
      <c r="N137" s="242">
        <f>IF(N136&gt;0,'Acquirer Model'!N146,0)</f>
        <v>0</v>
      </c>
    </row>
    <row r="138" spans="1:14" outlineLevel="1">
      <c r="A138" s="231" t="s">
        <v>195</v>
      </c>
      <c r="B138" s="231"/>
      <c r="C138" s="240"/>
      <c r="D138" s="196"/>
      <c r="E138" s="196"/>
      <c r="F138" s="196"/>
      <c r="G138" s="196"/>
      <c r="H138" s="275">
        <f>'Deal Assumptions &amp; Analysis'!D76+'Deal Assumptions &amp; Analysis'!D79-'Deal Assumptions &amp; Analysis'!M41</f>
        <v>30000</v>
      </c>
      <c r="I138" s="248">
        <f>SUM(I136:I137)</f>
        <v>30000</v>
      </c>
      <c r="J138" s="248">
        <f t="shared" ref="J138:N138" si="62">SUM(J136:J137)</f>
        <v>30000</v>
      </c>
      <c r="K138" s="248">
        <f t="shared" si="62"/>
        <v>10000</v>
      </c>
      <c r="L138" s="248">
        <f t="shared" si="62"/>
        <v>10000</v>
      </c>
      <c r="M138" s="248">
        <f t="shared" si="62"/>
        <v>10000</v>
      </c>
      <c r="N138" s="248">
        <f t="shared" si="62"/>
        <v>10000</v>
      </c>
    </row>
    <row r="139" spans="1:14" outlineLevel="1">
      <c r="D139" s="194"/>
      <c r="E139" s="194"/>
      <c r="F139" s="194"/>
      <c r="G139" s="194"/>
      <c r="H139" s="194"/>
      <c r="I139" s="243"/>
      <c r="J139" s="243"/>
      <c r="K139" s="243"/>
      <c r="L139" s="243"/>
      <c r="M139" s="243"/>
      <c r="N139" s="243"/>
    </row>
    <row r="140" spans="1:14" outlineLevel="1">
      <c r="A140" s="21" t="s">
        <v>201</v>
      </c>
      <c r="D140" s="194"/>
      <c r="E140" s="194"/>
      <c r="F140" s="194"/>
      <c r="G140" s="194"/>
      <c r="H140" s="194"/>
      <c r="I140" s="243"/>
      <c r="J140" s="243"/>
      <c r="K140" s="243"/>
      <c r="L140" s="243"/>
      <c r="M140" s="243"/>
      <c r="N140" s="243"/>
    </row>
    <row r="141" spans="1:14" outlineLevel="1">
      <c r="A141" s="171" t="s">
        <v>193</v>
      </c>
      <c r="D141" s="194"/>
      <c r="E141" s="194"/>
      <c r="F141" s="194"/>
      <c r="G141" s="194"/>
      <c r="H141" s="194"/>
      <c r="I141" s="211">
        <f>H143</f>
        <v>205000</v>
      </c>
      <c r="J141" s="211">
        <f t="shared" ref="J141:N141" si="63">I143</f>
        <v>205000</v>
      </c>
      <c r="K141" s="211">
        <f t="shared" si="63"/>
        <v>195000</v>
      </c>
      <c r="L141" s="211">
        <f t="shared" si="63"/>
        <v>165000</v>
      </c>
      <c r="M141" s="211">
        <f t="shared" si="63"/>
        <v>155000</v>
      </c>
      <c r="N141" s="211">
        <f t="shared" si="63"/>
        <v>145000</v>
      </c>
    </row>
    <row r="142" spans="1:14" outlineLevel="1">
      <c r="A142" s="171" t="s">
        <v>194</v>
      </c>
      <c r="D142" s="194"/>
      <c r="E142" s="194"/>
      <c r="F142" s="194"/>
      <c r="G142" s="194"/>
      <c r="H142" s="194"/>
      <c r="I142" s="211">
        <f>I137+I132+I127+I122+I117</f>
        <v>0</v>
      </c>
      <c r="J142" s="211">
        <f t="shared" ref="J142:N142" si="64">J137+J132+J127+J122+J117</f>
        <v>-10000</v>
      </c>
      <c r="K142" s="211">
        <f t="shared" si="64"/>
        <v>-30000</v>
      </c>
      <c r="L142" s="211">
        <f t="shared" si="64"/>
        <v>-10000</v>
      </c>
      <c r="M142" s="211">
        <f t="shared" si="64"/>
        <v>-10000</v>
      </c>
      <c r="N142" s="211">
        <f t="shared" si="64"/>
        <v>-135000</v>
      </c>
    </row>
    <row r="143" spans="1:14" outlineLevel="1">
      <c r="A143" s="27" t="s">
        <v>195</v>
      </c>
      <c r="B143" s="27"/>
      <c r="C143" s="28"/>
      <c r="D143" s="164"/>
      <c r="E143" s="164"/>
      <c r="F143" s="164"/>
      <c r="G143" s="164"/>
      <c r="H143" s="50">
        <f>H138+H133+H128+H123+H118</f>
        <v>205000</v>
      </c>
      <c r="I143" s="281">
        <f>SUM(I141:I142)</f>
        <v>205000</v>
      </c>
      <c r="J143" s="281">
        <f t="shared" ref="J143:N143" si="65">SUM(J141:J142)</f>
        <v>195000</v>
      </c>
      <c r="K143" s="281">
        <f t="shared" si="65"/>
        <v>165000</v>
      </c>
      <c r="L143" s="281">
        <f t="shared" si="65"/>
        <v>155000</v>
      </c>
      <c r="M143" s="281">
        <f t="shared" si="65"/>
        <v>145000</v>
      </c>
      <c r="N143" s="281">
        <f t="shared" si="65"/>
        <v>10000</v>
      </c>
    </row>
    <row r="144" spans="1:14" outlineLevel="1">
      <c r="D144" s="194"/>
      <c r="E144" s="194"/>
      <c r="F144" s="194"/>
      <c r="G144" s="194"/>
      <c r="H144" s="194"/>
      <c r="I144" s="243"/>
      <c r="J144" s="243"/>
      <c r="K144" s="243"/>
      <c r="L144" s="243"/>
      <c r="M144" s="243"/>
      <c r="N144" s="243"/>
    </row>
    <row r="145" spans="1:14" outlineLevel="1">
      <c r="D145" s="194"/>
      <c r="E145" s="194"/>
      <c r="F145" s="194"/>
      <c r="G145" s="194"/>
      <c r="H145" s="194"/>
      <c r="I145" s="243"/>
      <c r="J145" s="243"/>
      <c r="K145" s="243"/>
      <c r="L145" s="243"/>
      <c r="M145" s="243"/>
      <c r="N145" s="243"/>
    </row>
    <row r="146" spans="1:14" outlineLevel="1">
      <c r="A146" s="276" t="s">
        <v>205</v>
      </c>
      <c r="B146" s="277"/>
      <c r="C146" s="278"/>
      <c r="D146" s="279"/>
      <c r="E146" s="279"/>
      <c r="F146" s="279"/>
      <c r="G146" s="279"/>
      <c r="H146" s="279"/>
      <c r="I146" s="280"/>
      <c r="J146" s="280"/>
      <c r="K146" s="280"/>
      <c r="L146" s="280"/>
      <c r="M146" s="280"/>
      <c r="N146" s="280"/>
    </row>
    <row r="147" spans="1:14" outlineLevel="1">
      <c r="A147" s="21" t="s">
        <v>206</v>
      </c>
      <c r="D147" s="194"/>
      <c r="E147" s="194"/>
      <c r="F147" s="194"/>
      <c r="G147" s="194"/>
      <c r="H147" s="194"/>
      <c r="I147" s="243"/>
      <c r="J147" s="243"/>
      <c r="K147" s="243"/>
      <c r="L147" s="243"/>
      <c r="M147" s="243"/>
      <c r="N147" s="243"/>
    </row>
    <row r="148" spans="1:14" outlineLevel="1">
      <c r="A148" s="8" t="s">
        <v>122</v>
      </c>
      <c r="D148" s="194"/>
      <c r="E148" s="194"/>
      <c r="F148" s="194"/>
      <c r="G148" s="194"/>
      <c r="H148" s="282">
        <f>'Deal Assumptions &amp; Analysis'!H25</f>
        <v>5.5E-2</v>
      </c>
      <c r="I148" s="283">
        <f>H148</f>
        <v>5.5E-2</v>
      </c>
      <c r="J148" s="283">
        <f t="shared" ref="J148:N148" si="66">I148</f>
        <v>5.5E-2</v>
      </c>
      <c r="K148" s="283">
        <f t="shared" si="66"/>
        <v>5.5E-2</v>
      </c>
      <c r="L148" s="283">
        <f t="shared" si="66"/>
        <v>5.5E-2</v>
      </c>
      <c r="M148" s="283">
        <f t="shared" si="66"/>
        <v>5.5E-2</v>
      </c>
      <c r="N148" s="283">
        <f t="shared" si="66"/>
        <v>5.5E-2</v>
      </c>
    </row>
    <row r="149" spans="1:14" outlineLevel="1">
      <c r="A149" s="8" t="s">
        <v>123</v>
      </c>
      <c r="D149" s="194"/>
      <c r="E149" s="194"/>
      <c r="F149" s="194"/>
      <c r="G149" s="194"/>
      <c r="H149" s="282">
        <f>'Deal Assumptions &amp; Analysis'!H26</f>
        <v>5.7500000000000002E-2</v>
      </c>
      <c r="I149" s="283">
        <f t="shared" ref="I149:N152" si="67">H149</f>
        <v>5.7500000000000002E-2</v>
      </c>
      <c r="J149" s="283">
        <f t="shared" si="67"/>
        <v>5.7500000000000002E-2</v>
      </c>
      <c r="K149" s="283">
        <f t="shared" si="67"/>
        <v>5.7500000000000002E-2</v>
      </c>
      <c r="L149" s="283">
        <f t="shared" si="67"/>
        <v>5.7500000000000002E-2</v>
      </c>
      <c r="M149" s="283">
        <f t="shared" si="67"/>
        <v>5.7500000000000002E-2</v>
      </c>
      <c r="N149" s="283">
        <f t="shared" si="67"/>
        <v>5.7500000000000002E-2</v>
      </c>
    </row>
    <row r="150" spans="1:14" outlineLevel="1">
      <c r="A150" s="8" t="s">
        <v>124</v>
      </c>
      <c r="D150" s="194"/>
      <c r="E150" s="194"/>
      <c r="F150" s="194"/>
      <c r="G150" s="194"/>
      <c r="H150" s="282">
        <f>'Deal Assumptions &amp; Analysis'!H27</f>
        <v>8.2500000000000004E-2</v>
      </c>
      <c r="I150" s="283">
        <f t="shared" si="67"/>
        <v>8.2500000000000004E-2</v>
      </c>
      <c r="J150" s="283">
        <f t="shared" si="67"/>
        <v>8.2500000000000004E-2</v>
      </c>
      <c r="K150" s="283">
        <f t="shared" si="67"/>
        <v>8.2500000000000004E-2</v>
      </c>
      <c r="L150" s="283">
        <f t="shared" si="67"/>
        <v>8.2500000000000004E-2</v>
      </c>
      <c r="M150" s="283">
        <f t="shared" si="67"/>
        <v>8.2500000000000004E-2</v>
      </c>
      <c r="N150" s="283">
        <f t="shared" si="67"/>
        <v>8.2500000000000004E-2</v>
      </c>
    </row>
    <row r="151" spans="1:14" outlineLevel="1">
      <c r="A151" s="171" t="s">
        <v>137</v>
      </c>
      <c r="D151" s="194"/>
      <c r="E151" s="194"/>
      <c r="F151" s="194"/>
      <c r="G151" s="194"/>
      <c r="H151" s="282">
        <f>'Target Model'!I50</f>
        <v>0.08</v>
      </c>
      <c r="I151" s="283">
        <f t="shared" si="67"/>
        <v>0.08</v>
      </c>
      <c r="J151" s="283">
        <f t="shared" si="67"/>
        <v>0.08</v>
      </c>
      <c r="K151" s="283">
        <f t="shared" si="67"/>
        <v>0.08</v>
      </c>
      <c r="L151" s="283">
        <f t="shared" si="67"/>
        <v>0.08</v>
      </c>
      <c r="M151" s="283">
        <f t="shared" si="67"/>
        <v>0.08</v>
      </c>
      <c r="N151" s="283">
        <f t="shared" si="67"/>
        <v>0.08</v>
      </c>
    </row>
    <row r="152" spans="1:14" outlineLevel="1">
      <c r="A152" s="8" t="s">
        <v>200</v>
      </c>
      <c r="D152" s="194"/>
      <c r="E152" s="194"/>
      <c r="F152" s="194"/>
      <c r="G152" s="194"/>
      <c r="H152" s="282">
        <f>'Acquirer Model'!I50</f>
        <v>0.1</v>
      </c>
      <c r="I152" s="283">
        <f t="shared" si="67"/>
        <v>0.1</v>
      </c>
      <c r="J152" s="283">
        <f t="shared" si="67"/>
        <v>0.1</v>
      </c>
      <c r="K152" s="283">
        <f t="shared" si="67"/>
        <v>0.1</v>
      </c>
      <c r="L152" s="283">
        <f t="shared" si="67"/>
        <v>0.1</v>
      </c>
      <c r="M152" s="283">
        <f t="shared" si="67"/>
        <v>0.1</v>
      </c>
      <c r="N152" s="283">
        <f t="shared" si="67"/>
        <v>0.1</v>
      </c>
    </row>
    <row r="153" spans="1:14" outlineLevel="1">
      <c r="D153" s="194"/>
      <c r="E153" s="194"/>
      <c r="F153" s="194"/>
      <c r="G153" s="194"/>
      <c r="H153" s="194"/>
      <c r="I153" s="243"/>
      <c r="J153" s="243"/>
      <c r="K153" s="243"/>
      <c r="L153" s="243"/>
      <c r="M153" s="243"/>
      <c r="N153" s="243"/>
    </row>
    <row r="154" spans="1:14" outlineLevel="1">
      <c r="A154" s="21" t="s">
        <v>229</v>
      </c>
      <c r="D154" s="194"/>
      <c r="E154" s="194"/>
      <c r="F154" s="194"/>
      <c r="G154" s="194"/>
      <c r="H154" s="194"/>
      <c r="I154" s="243"/>
      <c r="J154" s="243"/>
      <c r="K154" s="243"/>
      <c r="L154" s="243"/>
      <c r="M154" s="243"/>
      <c r="N154" s="243"/>
    </row>
    <row r="155" spans="1:14" outlineLevel="1">
      <c r="A155" s="8" t="s">
        <v>122</v>
      </c>
      <c r="D155" s="194"/>
      <c r="E155" s="194"/>
      <c r="F155" s="194"/>
      <c r="G155" s="194"/>
      <c r="H155" s="211"/>
      <c r="I155" s="211">
        <f>I148*I116*I6</f>
        <v>4085.7142857142858</v>
      </c>
      <c r="J155" s="211">
        <f t="shared" ref="J155:N155" si="68">J148*J116*J6</f>
        <v>5500</v>
      </c>
      <c r="K155" s="211">
        <f t="shared" si="68"/>
        <v>5500</v>
      </c>
      <c r="L155" s="211">
        <f t="shared" si="68"/>
        <v>5500</v>
      </c>
      <c r="M155" s="211">
        <f t="shared" si="68"/>
        <v>5500</v>
      </c>
      <c r="N155" s="211">
        <f t="shared" si="68"/>
        <v>5500</v>
      </c>
    </row>
    <row r="156" spans="1:14" outlineLevel="1">
      <c r="A156" s="8" t="s">
        <v>123</v>
      </c>
      <c r="D156" s="194"/>
      <c r="E156" s="194"/>
      <c r="F156" s="194"/>
      <c r="G156" s="194"/>
      <c r="H156" s="211"/>
      <c r="I156" s="211">
        <f>I149*I121*I6</f>
        <v>2135.7142857142858</v>
      </c>
      <c r="J156" s="211">
        <f t="shared" ref="J156:N156" si="69">J149*J121*J6</f>
        <v>2875</v>
      </c>
      <c r="K156" s="211">
        <f t="shared" si="69"/>
        <v>2300</v>
      </c>
      <c r="L156" s="211">
        <f t="shared" si="69"/>
        <v>1725</v>
      </c>
      <c r="M156" s="211">
        <f t="shared" si="69"/>
        <v>1150</v>
      </c>
      <c r="N156" s="211">
        <f t="shared" si="69"/>
        <v>575</v>
      </c>
    </row>
    <row r="157" spans="1:14" outlineLevel="1">
      <c r="A157" s="8" t="s">
        <v>124</v>
      </c>
      <c r="D157" s="194"/>
      <c r="E157" s="194"/>
      <c r="F157" s="194"/>
      <c r="G157" s="194"/>
      <c r="H157" s="211"/>
      <c r="I157" s="211">
        <f>I150*I126*I6</f>
        <v>1532.1428571428571</v>
      </c>
      <c r="J157" s="211">
        <f t="shared" ref="J157:N157" si="70">J150*J126*J6</f>
        <v>2062.5</v>
      </c>
      <c r="K157" s="211">
        <f t="shared" si="70"/>
        <v>2062.5</v>
      </c>
      <c r="L157" s="211">
        <f t="shared" si="70"/>
        <v>2062.5</v>
      </c>
      <c r="M157" s="211">
        <f t="shared" si="70"/>
        <v>2062.5</v>
      </c>
      <c r="N157" s="211">
        <f t="shared" si="70"/>
        <v>2062.5</v>
      </c>
    </row>
    <row r="158" spans="1:14" outlineLevel="1">
      <c r="A158" s="171" t="s">
        <v>137</v>
      </c>
      <c r="D158" s="194"/>
      <c r="E158" s="194"/>
      <c r="F158" s="194"/>
      <c r="G158" s="194"/>
      <c r="H158" s="211"/>
      <c r="I158" s="211">
        <f>I151*I131*I6</f>
        <v>0</v>
      </c>
      <c r="J158" s="211">
        <f t="shared" ref="J158:N158" si="71">J151*J131*J6</f>
        <v>0</v>
      </c>
      <c r="K158" s="211">
        <f t="shared" si="71"/>
        <v>0</v>
      </c>
      <c r="L158" s="211">
        <f t="shared" si="71"/>
        <v>0</v>
      </c>
      <c r="M158" s="211">
        <f t="shared" si="71"/>
        <v>0</v>
      </c>
      <c r="N158" s="211">
        <f t="shared" si="71"/>
        <v>0</v>
      </c>
    </row>
    <row r="159" spans="1:14" outlineLevel="1">
      <c r="A159" s="8" t="s">
        <v>200</v>
      </c>
      <c r="D159" s="194"/>
      <c r="E159" s="194"/>
      <c r="F159" s="194"/>
      <c r="G159" s="194"/>
      <c r="H159" s="211"/>
      <c r="I159" s="211">
        <f>I136*I152*I6</f>
        <v>2228.5714285714284</v>
      </c>
      <c r="J159" s="211">
        <f t="shared" ref="J159:N159" si="72">J136*J152*J6</f>
        <v>3000</v>
      </c>
      <c r="K159" s="211">
        <f t="shared" si="72"/>
        <v>3000</v>
      </c>
      <c r="L159" s="211">
        <f t="shared" si="72"/>
        <v>1000</v>
      </c>
      <c r="M159" s="211">
        <f t="shared" si="72"/>
        <v>1000</v>
      </c>
      <c r="N159" s="211">
        <f t="shared" si="72"/>
        <v>1000</v>
      </c>
    </row>
    <row r="160" spans="1:14" outlineLevel="1">
      <c r="A160" s="50" t="s">
        <v>207</v>
      </c>
      <c r="B160" s="50"/>
      <c r="C160" s="284"/>
      <c r="D160" s="50"/>
      <c r="E160" s="50"/>
      <c r="F160" s="50"/>
      <c r="G160" s="50"/>
      <c r="H160" s="50"/>
      <c r="I160" s="50">
        <f>SUM(I155:I159)</f>
        <v>9982.1428571428569</v>
      </c>
      <c r="J160" s="50">
        <f t="shared" ref="J160:N160" si="73">SUM(J155:J159)</f>
        <v>13437.5</v>
      </c>
      <c r="K160" s="50">
        <f t="shared" si="73"/>
        <v>12862.5</v>
      </c>
      <c r="L160" s="50">
        <f t="shared" si="73"/>
        <v>10287.5</v>
      </c>
      <c r="M160" s="50">
        <f t="shared" si="73"/>
        <v>9712.5</v>
      </c>
      <c r="N160" s="50">
        <f t="shared" si="73"/>
        <v>9137.5</v>
      </c>
    </row>
    <row r="161" spans="1:14" outlineLevel="1">
      <c r="D161" s="194"/>
      <c r="E161" s="194"/>
      <c r="F161" s="194"/>
      <c r="G161" s="194"/>
      <c r="H161" s="194"/>
      <c r="I161" s="243"/>
      <c r="J161" s="243"/>
      <c r="K161" s="243"/>
      <c r="L161" s="243"/>
      <c r="M161" s="243"/>
      <c r="N161" s="243"/>
    </row>
    <row r="162" spans="1:14" outlineLevel="1">
      <c r="D162" s="194"/>
      <c r="E162" s="194"/>
      <c r="F162" s="194"/>
      <c r="G162" s="194"/>
      <c r="H162" s="194"/>
    </row>
    <row r="163" spans="1:14">
      <c r="D163" s="194"/>
      <c r="E163" s="194"/>
      <c r="F163" s="194"/>
      <c r="G163" s="194"/>
      <c r="H163" s="194"/>
    </row>
    <row r="164" spans="1:14" ht="20">
      <c r="A164" s="189" t="s">
        <v>84</v>
      </c>
      <c r="B164" s="190"/>
      <c r="C164" s="191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</row>
    <row r="165" spans="1:14" outlineLevel="1">
      <c r="A165" s="208"/>
      <c r="D165" s="194"/>
      <c r="E165" s="194"/>
      <c r="F165" s="194"/>
      <c r="G165" s="194"/>
      <c r="H165" s="194"/>
    </row>
    <row r="166" spans="1:14" outlineLevel="1">
      <c r="A166" s="249" t="s">
        <v>14</v>
      </c>
      <c r="B166" s="194"/>
      <c r="C166" s="194"/>
      <c r="D166" s="194"/>
    </row>
    <row r="167" spans="1:14" outlineLevel="1">
      <c r="A167" s="234" t="s">
        <v>85</v>
      </c>
      <c r="B167" s="196"/>
      <c r="C167" s="250">
        <v>0.3</v>
      </c>
      <c r="D167" s="194"/>
    </row>
    <row r="168" spans="1:14" outlineLevel="1">
      <c r="A168" s="211" t="s">
        <v>86</v>
      </c>
      <c r="C168" s="251">
        <v>0.15</v>
      </c>
    </row>
    <row r="169" spans="1:14" outlineLevel="1">
      <c r="A169" s="8" t="s">
        <v>231</v>
      </c>
      <c r="C169" s="251">
        <v>0.04</v>
      </c>
      <c r="J169" s="227"/>
      <c r="K169" s="227"/>
      <c r="L169" s="227"/>
      <c r="M169" s="227"/>
      <c r="N169" s="227"/>
    </row>
    <row r="170" spans="1:14" outlineLevel="1">
      <c r="A170" s="8" t="s">
        <v>232</v>
      </c>
      <c r="C170" s="252">
        <v>10</v>
      </c>
      <c r="J170" s="227"/>
      <c r="K170" s="227"/>
      <c r="L170" s="227"/>
      <c r="M170" s="227"/>
      <c r="N170" s="227"/>
    </row>
    <row r="171" spans="1:14" outlineLevel="1">
      <c r="A171" s="171" t="s">
        <v>7</v>
      </c>
      <c r="C171" s="253"/>
      <c r="J171" s="227"/>
      <c r="K171" s="227"/>
      <c r="L171" s="227"/>
      <c r="M171" s="227"/>
      <c r="N171" s="227"/>
    </row>
    <row r="172" spans="1:14" outlineLevel="1">
      <c r="A172" s="171" t="s">
        <v>87</v>
      </c>
      <c r="C172" s="254">
        <f>'Deal Assumptions &amp; Analysis'!D26</f>
        <v>69010.007849293557</v>
      </c>
    </row>
    <row r="173" spans="1:14" outlineLevel="1">
      <c r="C173" s="255"/>
    </row>
    <row r="174" spans="1:14" outlineLevel="1">
      <c r="C174" s="256"/>
    </row>
    <row r="175" spans="1:14" outlineLevel="1">
      <c r="A175" s="257" t="s">
        <v>88</v>
      </c>
      <c r="B175" s="258"/>
      <c r="C175" s="259" t="s">
        <v>89</v>
      </c>
      <c r="D175" s="260">
        <f>I2</f>
        <v>2017</v>
      </c>
      <c r="E175" s="261">
        <f>+D175+1</f>
        <v>2018</v>
      </c>
      <c r="F175" s="261">
        <f>+E175+1</f>
        <v>2019</v>
      </c>
      <c r="G175" s="261">
        <f>+F175+1</f>
        <v>2020</v>
      </c>
      <c r="H175" s="261">
        <f>+G175+1</f>
        <v>2021</v>
      </c>
      <c r="I175" s="261">
        <f>+H175+1</f>
        <v>2022</v>
      </c>
      <c r="J175" s="259" t="s">
        <v>90</v>
      </c>
      <c r="L175" s="208" t="s">
        <v>91</v>
      </c>
    </row>
    <row r="176" spans="1:14" outlineLevel="1">
      <c r="A176" s="262" t="s">
        <v>0</v>
      </c>
      <c r="B176" s="262"/>
      <c r="C176" s="263">
        <f>'Deal Assumptions &amp; Analysis'!D11</f>
        <v>42840</v>
      </c>
      <c r="D176" s="264">
        <f>DATE(D175,12,31)</f>
        <v>43100</v>
      </c>
      <c r="E176" s="264">
        <f t="shared" ref="E176:I176" si="74">DATE(E175,12,31)</f>
        <v>43465</v>
      </c>
      <c r="F176" s="264">
        <f t="shared" si="74"/>
        <v>43830</v>
      </c>
      <c r="G176" s="264">
        <f t="shared" si="74"/>
        <v>44196</v>
      </c>
      <c r="H176" s="264">
        <f t="shared" si="74"/>
        <v>44561</v>
      </c>
      <c r="I176" s="264">
        <f t="shared" si="74"/>
        <v>44926</v>
      </c>
      <c r="J176" s="264">
        <f>I176</f>
        <v>44926</v>
      </c>
      <c r="L176" s="231" t="s">
        <v>2</v>
      </c>
      <c r="M176" s="231"/>
      <c r="N176" s="265">
        <f>C170*H183</f>
        <v>1395340.5819579</v>
      </c>
    </row>
    <row r="177" spans="1:10" outlineLevel="1">
      <c r="A177" s="177"/>
      <c r="B177" s="177"/>
      <c r="C177" s="177"/>
      <c r="D177" s="266"/>
      <c r="E177" s="266"/>
      <c r="F177" s="266"/>
      <c r="G177" s="266"/>
      <c r="H177" s="266"/>
      <c r="I177" s="266"/>
      <c r="J177" s="266"/>
    </row>
    <row r="178" spans="1:10" outlineLevel="1">
      <c r="A178" s="177"/>
      <c r="B178" s="177"/>
      <c r="C178" s="177"/>
      <c r="D178" s="266"/>
      <c r="E178" s="266"/>
      <c r="F178" s="266"/>
      <c r="G178" s="266"/>
      <c r="H178" s="266"/>
      <c r="I178" s="266"/>
      <c r="J178" s="267"/>
    </row>
    <row r="179" spans="1:10" outlineLevel="1">
      <c r="A179" s="171" t="s">
        <v>5</v>
      </c>
      <c r="C179" s="171"/>
      <c r="D179" s="212">
        <f>I42+I40</f>
        <v>54111.665681486935</v>
      </c>
      <c r="E179" s="212">
        <f t="shared" ref="E179:I179" si="75">J42+J40</f>
        <v>86927.879805681659</v>
      </c>
      <c r="F179" s="212">
        <f t="shared" si="75"/>
        <v>101440.20375787865</v>
      </c>
      <c r="G179" s="212">
        <f t="shared" si="75"/>
        <v>114240.53547562766</v>
      </c>
      <c r="H179" s="212">
        <f t="shared" si="75"/>
        <v>121753.20205592622</v>
      </c>
      <c r="I179" s="212">
        <f t="shared" si="75"/>
        <v>131200.49586112687</v>
      </c>
    </row>
    <row r="180" spans="1:10" outlineLevel="1">
      <c r="A180" s="171" t="s">
        <v>93</v>
      </c>
      <c r="C180" s="171"/>
      <c r="D180" s="229">
        <f>D179*$C$167</f>
        <v>16233.49970444608</v>
      </c>
      <c r="E180" s="229">
        <f t="shared" ref="E180:I180" si="76">E179*$C$167</f>
        <v>26078.363941704498</v>
      </c>
      <c r="F180" s="229">
        <f t="shared" si="76"/>
        <v>30432.061127363595</v>
      </c>
      <c r="G180" s="229">
        <f t="shared" si="76"/>
        <v>34272.160642688301</v>
      </c>
      <c r="H180" s="229">
        <f t="shared" si="76"/>
        <v>36525.960616777862</v>
      </c>
      <c r="I180" s="229">
        <f t="shared" si="76"/>
        <v>39360.148758338059</v>
      </c>
    </row>
    <row r="181" spans="1:10" outlineLevel="1">
      <c r="A181" s="231" t="s">
        <v>94</v>
      </c>
      <c r="B181" s="231"/>
      <c r="C181" s="231"/>
      <c r="D181" s="265">
        <f>D179-D180</f>
        <v>37878.165977040859</v>
      </c>
      <c r="E181" s="265">
        <f t="shared" ref="E181:I181" si="77">E179-E180</f>
        <v>60849.515863977162</v>
      </c>
      <c r="F181" s="265">
        <f t="shared" si="77"/>
        <v>71008.142630515067</v>
      </c>
      <c r="G181" s="265">
        <f t="shared" si="77"/>
        <v>79968.374832939357</v>
      </c>
      <c r="H181" s="265">
        <f t="shared" si="77"/>
        <v>85227.241439148347</v>
      </c>
      <c r="I181" s="265">
        <f t="shared" si="77"/>
        <v>91840.347102788801</v>
      </c>
    </row>
    <row r="182" spans="1:10" outlineLevel="1">
      <c r="A182" s="171" t="s">
        <v>95</v>
      </c>
      <c r="C182" s="212"/>
      <c r="D182" s="268">
        <f>I78</f>
        <v>10354.660323428572</v>
      </c>
      <c r="E182" s="268">
        <f t="shared" ref="E182:I182" si="78">J78</f>
        <v>14950.890898171428</v>
      </c>
      <c r="F182" s="268">
        <f t="shared" si="78"/>
        <v>16110.712718537143</v>
      </c>
      <c r="G182" s="268">
        <f t="shared" si="78"/>
        <v>17038.570174829714</v>
      </c>
      <c r="H182" s="268">
        <f t="shared" si="78"/>
        <v>17780.856139863772</v>
      </c>
      <c r="I182" s="268">
        <f t="shared" si="78"/>
        <v>18374.684911891018</v>
      </c>
      <c r="J182" s="212"/>
    </row>
    <row r="183" spans="1:10" outlineLevel="1">
      <c r="A183" s="171" t="s">
        <v>4</v>
      </c>
      <c r="C183" s="212"/>
      <c r="D183" s="268">
        <f>D179+D182</f>
        <v>64466.326004915507</v>
      </c>
      <c r="E183" s="268">
        <f t="shared" ref="E183:I183" si="79">E179+E182</f>
        <v>101878.77070385309</v>
      </c>
      <c r="F183" s="268">
        <f t="shared" si="79"/>
        <v>117550.91647641579</v>
      </c>
      <c r="G183" s="268">
        <f t="shared" si="79"/>
        <v>131279.10565045738</v>
      </c>
      <c r="H183" s="268">
        <f t="shared" si="79"/>
        <v>139534.05819578998</v>
      </c>
      <c r="I183" s="268">
        <f t="shared" si="79"/>
        <v>149575.18077301787</v>
      </c>
      <c r="J183" s="212"/>
    </row>
    <row r="184" spans="1:10" outlineLevel="1">
      <c r="A184" s="171" t="s">
        <v>96</v>
      </c>
      <c r="C184" s="212"/>
      <c r="D184" s="212">
        <f>-I83</f>
        <v>15414.285714285716</v>
      </c>
      <c r="E184" s="212">
        <f t="shared" ref="E184:I184" si="80">-J83</f>
        <v>20750</v>
      </c>
      <c r="F184" s="212">
        <f t="shared" si="80"/>
        <v>20750</v>
      </c>
      <c r="G184" s="212">
        <f t="shared" si="80"/>
        <v>20750</v>
      </c>
      <c r="H184" s="212">
        <f t="shared" si="80"/>
        <v>20750</v>
      </c>
      <c r="I184" s="212">
        <f t="shared" si="80"/>
        <v>20750</v>
      </c>
      <c r="J184" s="212"/>
    </row>
    <row r="185" spans="1:10" outlineLevel="1">
      <c r="A185" s="171" t="s">
        <v>97</v>
      </c>
      <c r="C185" s="212"/>
      <c r="D185" s="212">
        <f>I106</f>
        <v>-582.24926080659498</v>
      </c>
      <c r="E185" s="212">
        <f t="shared" ref="E185:I185" si="81">J106</f>
        <v>5509.1388810931967</v>
      </c>
      <c r="F185" s="212">
        <f t="shared" si="81"/>
        <v>7449.0488558288962</v>
      </c>
      <c r="G185" s="212">
        <f t="shared" si="81"/>
        <v>4058.6294006557364</v>
      </c>
      <c r="H185" s="212">
        <f t="shared" si="81"/>
        <v>4204.4066557929837</v>
      </c>
      <c r="I185" s="212">
        <f t="shared" si="81"/>
        <v>3183.6051916909491</v>
      </c>
      <c r="J185" s="212"/>
    </row>
    <row r="186" spans="1:10" outlineLevel="1">
      <c r="A186" s="215" t="s">
        <v>98</v>
      </c>
      <c r="B186" s="215"/>
      <c r="C186" s="215"/>
      <c r="D186" s="215">
        <f>D181+D182-D184-D185</f>
        <v>33400.789846990308</v>
      </c>
      <c r="E186" s="215">
        <f t="shared" ref="E186:I186" si="82">E181+E182-E184-E185</f>
        <v>49541.267881055392</v>
      </c>
      <c r="F186" s="215">
        <f t="shared" si="82"/>
        <v>58919.80649322331</v>
      </c>
      <c r="G186" s="215">
        <f t="shared" si="82"/>
        <v>72198.315607113327</v>
      </c>
      <c r="H186" s="215">
        <f t="shared" si="82"/>
        <v>78053.690923219139</v>
      </c>
      <c r="I186" s="215">
        <f t="shared" si="82"/>
        <v>86281.426822988869</v>
      </c>
      <c r="J186" s="269">
        <f>N176</f>
        <v>1395340.5819579</v>
      </c>
    </row>
    <row r="187" spans="1:10" outlineLevel="1">
      <c r="C187" s="171"/>
      <c r="D187" s="212"/>
      <c r="E187" s="212"/>
      <c r="F187" s="212"/>
      <c r="G187" s="212"/>
      <c r="H187" s="212"/>
      <c r="I187" s="212"/>
      <c r="J187" s="258"/>
    </row>
    <row r="188" spans="1:10" outlineLevel="1">
      <c r="A188" s="208" t="s">
        <v>99</v>
      </c>
      <c r="B188" s="208"/>
      <c r="C188" s="46">
        <v>0</v>
      </c>
      <c r="D188" s="204">
        <f>D186</f>
        <v>33400.789846990308</v>
      </c>
      <c r="E188" s="204">
        <f t="shared" ref="E188:J188" si="83">E186</f>
        <v>49541.267881055392</v>
      </c>
      <c r="F188" s="204">
        <f t="shared" si="83"/>
        <v>58919.80649322331</v>
      </c>
      <c r="G188" s="204">
        <f t="shared" si="83"/>
        <v>72198.315607113327</v>
      </c>
      <c r="H188" s="204">
        <f t="shared" si="83"/>
        <v>78053.690923219139</v>
      </c>
      <c r="I188" s="204">
        <f t="shared" si="83"/>
        <v>86281.426822988869</v>
      </c>
      <c r="J188" s="204">
        <f t="shared" si="83"/>
        <v>1395340.5819579</v>
      </c>
    </row>
    <row r="189" spans="1:10" outlineLevel="1">
      <c r="C189" s="212"/>
      <c r="D189" s="212"/>
      <c r="E189" s="212"/>
      <c r="F189" s="212"/>
      <c r="G189" s="212"/>
      <c r="H189" s="212"/>
      <c r="I189" s="212"/>
      <c r="J189" s="212"/>
    </row>
    <row r="190" spans="1:10" outlineLevel="1">
      <c r="A190" s="208" t="s">
        <v>100</v>
      </c>
      <c r="B190" s="208"/>
      <c r="C190" s="204">
        <f>-C193</f>
        <v>-859471.53942352021</v>
      </c>
      <c r="D190" s="204">
        <f>D188</f>
        <v>33400.789846990308</v>
      </c>
      <c r="E190" s="204">
        <f t="shared" ref="E190:J190" si="84">E188</f>
        <v>49541.267881055392</v>
      </c>
      <c r="F190" s="204">
        <f t="shared" si="84"/>
        <v>58919.80649322331</v>
      </c>
      <c r="G190" s="204">
        <f t="shared" si="84"/>
        <v>72198.315607113327</v>
      </c>
      <c r="H190" s="204">
        <f t="shared" si="84"/>
        <v>78053.690923219139</v>
      </c>
      <c r="I190" s="204">
        <f t="shared" si="84"/>
        <v>86281.426822988869</v>
      </c>
      <c r="J190" s="204">
        <f t="shared" si="84"/>
        <v>1395340.5819579</v>
      </c>
    </row>
    <row r="191" spans="1:10" outlineLevel="1">
      <c r="A191" s="212"/>
      <c r="B191" s="270"/>
      <c r="C191" s="212"/>
      <c r="D191" s="212"/>
      <c r="E191" s="212"/>
      <c r="F191" s="212"/>
      <c r="G191" s="212"/>
      <c r="H191" s="212"/>
    </row>
    <row r="192" spans="1:10" outlineLevel="1">
      <c r="A192" s="208" t="s">
        <v>101</v>
      </c>
      <c r="C192" s="212"/>
      <c r="E192" s="208" t="s">
        <v>102</v>
      </c>
      <c r="J192" s="208" t="s">
        <v>103</v>
      </c>
    </row>
    <row r="193" spans="1:14" outlineLevel="1">
      <c r="A193" s="231" t="s">
        <v>104</v>
      </c>
      <c r="B193" s="231"/>
      <c r="C193" s="231">
        <f>XNPV(C168,C188:J188,C176:J176)</f>
        <v>859471.53942352021</v>
      </c>
      <c r="E193" s="231" t="s">
        <v>3</v>
      </c>
      <c r="F193" s="231"/>
      <c r="G193" s="129" t="s">
        <v>230</v>
      </c>
      <c r="J193" s="231" t="s">
        <v>109</v>
      </c>
      <c r="K193" s="231"/>
      <c r="L193" s="298">
        <f>XIRR(C190:J190,C176:J176)</f>
        <v>0.14999999403953554</v>
      </c>
    </row>
    <row r="194" spans="1:14" outlineLevel="1">
      <c r="A194" s="171" t="s">
        <v>105</v>
      </c>
      <c r="C194" s="171">
        <f>H51</f>
        <v>100543.29503116112</v>
      </c>
      <c r="E194" s="171" t="s">
        <v>106</v>
      </c>
      <c r="L194" s="271"/>
    </row>
    <row r="195" spans="1:14" outlineLevel="1">
      <c r="A195" s="171" t="s">
        <v>107</v>
      </c>
      <c r="C195" s="171">
        <f>H63+H60</f>
        <v>205000</v>
      </c>
      <c r="E195" s="171" t="s">
        <v>108</v>
      </c>
      <c r="J195" s="212"/>
      <c r="K195" s="212"/>
      <c r="L195" s="270"/>
    </row>
    <row r="196" spans="1:14" outlineLevel="1">
      <c r="A196" s="171" t="s">
        <v>8</v>
      </c>
      <c r="C196" s="231">
        <f>C193+C194-C195</f>
        <v>755014.83445468138</v>
      </c>
      <c r="E196" s="171" t="s">
        <v>104</v>
      </c>
    </row>
    <row r="197" spans="1:14" outlineLevel="1">
      <c r="C197" s="171"/>
      <c r="G197" s="267"/>
    </row>
    <row r="198" spans="1:14" outlineLevel="1">
      <c r="A198" s="208" t="s">
        <v>110</v>
      </c>
      <c r="C198" s="272">
        <f>C196/C172</f>
        <v>10.940657130535456</v>
      </c>
      <c r="E198" s="208" t="s">
        <v>110</v>
      </c>
      <c r="F198" s="208"/>
      <c r="G198" s="273"/>
    </row>
    <row r="199" spans="1:14" outlineLevel="1">
      <c r="C199" s="171"/>
    </row>
    <row r="200" spans="1:14" outlineLevel="1">
      <c r="C200" s="171"/>
    </row>
    <row r="201" spans="1:14">
      <c r="C201" s="171"/>
    </row>
    <row r="202" spans="1:14" ht="20">
      <c r="A202" s="189" t="s">
        <v>179</v>
      </c>
      <c r="B202" s="190"/>
      <c r="C202" s="191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</row>
    <row r="203" spans="1:14" outlineLevel="1"/>
    <row r="204" spans="1:14" outlineLevel="1">
      <c r="A204" s="208" t="s">
        <v>9</v>
      </c>
    </row>
    <row r="205" spans="1:14" outlineLevel="1">
      <c r="A205" s="171" t="s">
        <v>172</v>
      </c>
      <c r="D205" s="210"/>
      <c r="E205" s="210"/>
      <c r="F205" s="210"/>
      <c r="G205" s="210"/>
      <c r="H205" s="210"/>
      <c r="I205" s="295">
        <f>'Acquirer Model'!I63*I6</f>
        <v>123202.26285714286</v>
      </c>
      <c r="J205" s="295">
        <f>'Acquirer Model'!J63*J6</f>
        <v>182434.12000000002</v>
      </c>
      <c r="K205" s="295">
        <f>'Acquirer Model'!K63*K6</f>
        <v>200677.53200000004</v>
      </c>
      <c r="L205" s="295">
        <f>'Acquirer Model'!L63*L6</f>
        <v>218738.50988000006</v>
      </c>
      <c r="M205" s="295">
        <f>'Acquirer Model'!M63*M6</f>
        <v>236237.59067040007</v>
      </c>
      <c r="N205" s="295">
        <f>'Acquirer Model'!N63*N6</f>
        <v>252774.22201732808</v>
      </c>
    </row>
    <row r="206" spans="1:14" outlineLevel="1">
      <c r="A206" s="171" t="s">
        <v>1</v>
      </c>
      <c r="D206" s="210"/>
      <c r="E206" s="210"/>
      <c r="F206" s="210"/>
      <c r="G206" s="210"/>
      <c r="H206" s="210"/>
      <c r="I206" s="210">
        <f>'Target Model'!I63*I6</f>
        <v>72133.94137224782</v>
      </c>
      <c r="J206" s="210">
        <f>'Target Model'!J63*J6</f>
        <v>111668.89000896056</v>
      </c>
      <c r="K206" s="210">
        <f>'Target Model'!K63*K6</f>
        <v>125069.15681003584</v>
      </c>
      <c r="L206" s="210">
        <f>'Target Model'!L63*L6</f>
        <v>137576.07249103943</v>
      </c>
      <c r="M206" s="210">
        <f>'Target Model'!M63*M6</f>
        <v>148582.15829032261</v>
      </c>
      <c r="N206" s="210">
        <f>'Target Model'!N63*N6</f>
        <v>157497.08778774197</v>
      </c>
    </row>
    <row r="207" spans="1:14" outlineLevel="1">
      <c r="A207" s="171" t="s">
        <v>115</v>
      </c>
      <c r="J207" s="210">
        <f>'Deal Assumptions &amp; Analysis'!$H$10*'Deal Assumptions &amp; Analysis'!$H$15</f>
        <v>1950</v>
      </c>
      <c r="K207" s="210">
        <f>'Deal Assumptions &amp; Analysis'!$H$10*'Deal Assumptions &amp; Analysis'!H16</f>
        <v>4225</v>
      </c>
      <c r="L207" s="210">
        <f>'Deal Assumptions &amp; Analysis'!$H$10*'Deal Assumptions &amp; Analysis'!$H$17</f>
        <v>6500</v>
      </c>
      <c r="M207" s="210">
        <f>'Deal Assumptions &amp; Analysis'!$H$10*'Deal Assumptions &amp; Analysis'!$H$17</f>
        <v>6500</v>
      </c>
      <c r="N207" s="210">
        <f>'Deal Assumptions &amp; Analysis'!$H$10*'Deal Assumptions &amp; Analysis'!$H$17</f>
        <v>6500</v>
      </c>
    </row>
    <row r="208" spans="1:14" outlineLevel="1">
      <c r="A208" s="215" t="s">
        <v>180</v>
      </c>
      <c r="B208" s="215"/>
      <c r="C208" s="216"/>
      <c r="D208" s="215"/>
      <c r="E208" s="215"/>
      <c r="F208" s="215"/>
      <c r="G208" s="215"/>
      <c r="H208" s="215"/>
      <c r="I208" s="215">
        <f>SUM(I205:I207)</f>
        <v>195336.20422939069</v>
      </c>
      <c r="J208" s="215">
        <f t="shared" ref="J208:N208" si="85">SUM(J205:J207)</f>
        <v>296053.01000896061</v>
      </c>
      <c r="K208" s="215">
        <f t="shared" si="85"/>
        <v>329971.68881003588</v>
      </c>
      <c r="L208" s="215">
        <f t="shared" si="85"/>
        <v>362814.58237103949</v>
      </c>
      <c r="M208" s="215">
        <f t="shared" si="85"/>
        <v>391319.7489607227</v>
      </c>
      <c r="N208" s="215">
        <f t="shared" si="85"/>
        <v>416771.30980507005</v>
      </c>
    </row>
    <row r="209" spans="1:14" outlineLevel="1"/>
    <row r="210" spans="1:14" outlineLevel="1">
      <c r="A210" s="208" t="s">
        <v>181</v>
      </c>
    </row>
    <row r="211" spans="1:14" outlineLevel="1">
      <c r="A211" s="171" t="s">
        <v>172</v>
      </c>
      <c r="D211" s="210"/>
      <c r="E211" s="210"/>
      <c r="F211" s="210"/>
      <c r="G211" s="210"/>
      <c r="H211" s="210"/>
      <c r="I211" s="210">
        <f>'Acquirer Model'!I64*I6</f>
        <v>51744.950400000002</v>
      </c>
      <c r="J211" s="210">
        <f>'Acquirer Model'!J64*J6</f>
        <v>78446.671600000016</v>
      </c>
      <c r="K211" s="210">
        <f>'Acquirer Model'!K64*K6</f>
        <v>88298.114080000014</v>
      </c>
      <c r="L211" s="210">
        <f>'Acquirer Model'!L64*L6</f>
        <v>98432.329446000032</v>
      </c>
      <c r="M211" s="210">
        <f>'Acquirer Model'!M64*M6</f>
        <v>108669.29170838403</v>
      </c>
      <c r="N211" s="210">
        <f>'Acquirer Model'!N64*N6</f>
        <v>116276.14212797092</v>
      </c>
    </row>
    <row r="212" spans="1:14" outlineLevel="1">
      <c r="A212" s="171" t="s">
        <v>1</v>
      </c>
      <c r="D212" s="210"/>
      <c r="E212" s="210"/>
      <c r="F212" s="210"/>
      <c r="G212" s="210"/>
      <c r="H212" s="210"/>
      <c r="I212" s="210">
        <f>'Target Model'!I64*I6</f>
        <v>30296.255376344081</v>
      </c>
      <c r="J212" s="210">
        <f>'Target Model'!J64*J6</f>
        <v>45784.244903673825</v>
      </c>
      <c r="K212" s="210">
        <f>'Target Model'!K64*K6</f>
        <v>50027.662724014343</v>
      </c>
      <c r="L212" s="210">
        <f>'Target Model'!L64*L6</f>
        <v>55030.42899641578</v>
      </c>
      <c r="M212" s="210">
        <f>'Target Model'!M64*M6</f>
        <v>59432.863316129049</v>
      </c>
      <c r="N212" s="210">
        <f>'Target Model'!N64*N6</f>
        <v>62998.835115096794</v>
      </c>
    </row>
    <row r="213" spans="1:14" outlineLevel="1">
      <c r="A213" s="171" t="s">
        <v>115</v>
      </c>
      <c r="J213" s="210">
        <f>-'Deal Assumptions &amp; Analysis'!$H$11*'Deal Assumptions &amp; Analysis'!$H$15</f>
        <v>-262.5</v>
      </c>
      <c r="K213" s="210">
        <f>-'Deal Assumptions &amp; Analysis'!$H$11*'Deal Assumptions &amp; Analysis'!$H$16</f>
        <v>-568.75</v>
      </c>
      <c r="L213" s="210">
        <f>-'Deal Assumptions &amp; Analysis'!H11*'Deal Assumptions &amp; Analysis'!$H$17</f>
        <v>-875</v>
      </c>
      <c r="M213" s="210">
        <f>-'Deal Assumptions &amp; Analysis'!I11*'Deal Assumptions &amp; Analysis'!$H$17</f>
        <v>0</v>
      </c>
      <c r="N213" s="210">
        <f>-'Deal Assumptions &amp; Analysis'!J11*'Deal Assumptions &amp; Analysis'!$H$17</f>
        <v>0</v>
      </c>
    </row>
    <row r="214" spans="1:14" outlineLevel="1">
      <c r="A214" s="215" t="s">
        <v>180</v>
      </c>
      <c r="B214" s="215"/>
      <c r="C214" s="216"/>
      <c r="D214" s="215"/>
      <c r="E214" s="215"/>
      <c r="F214" s="215"/>
      <c r="G214" s="215"/>
      <c r="H214" s="215"/>
      <c r="I214" s="215">
        <f>SUM(I211:I213)</f>
        <v>82041.205776344083</v>
      </c>
      <c r="J214" s="215">
        <f t="shared" ref="J214:N214" si="86">SUM(J211:J213)</f>
        <v>123968.41650367384</v>
      </c>
      <c r="K214" s="215">
        <f t="shared" si="86"/>
        <v>137757.02680401434</v>
      </c>
      <c r="L214" s="215">
        <f t="shared" si="86"/>
        <v>152587.7584424158</v>
      </c>
      <c r="M214" s="215">
        <f t="shared" si="86"/>
        <v>168102.15502451308</v>
      </c>
      <c r="N214" s="215">
        <f t="shared" si="86"/>
        <v>179274.9772430677</v>
      </c>
    </row>
    <row r="215" spans="1:14" outlineLevel="1"/>
    <row r="216" spans="1:14" outlineLevel="1">
      <c r="A216" s="204" t="s">
        <v>185</v>
      </c>
    </row>
    <row r="217" spans="1:14" outlineLevel="1">
      <c r="A217" s="171" t="s">
        <v>172</v>
      </c>
      <c r="D217" s="210"/>
      <c r="E217" s="210"/>
      <c r="F217" s="210"/>
      <c r="G217" s="210"/>
      <c r="H217" s="210"/>
      <c r="I217" s="210">
        <f>'Acquirer Model'!I67*'Pro Forma Model'!I6</f>
        <v>20944.384685714289</v>
      </c>
      <c r="J217" s="210">
        <f>'Acquirer Model'!J67*'Pro Forma Model'!J6</f>
        <v>31013.800400000007</v>
      </c>
      <c r="K217" s="210">
        <f>'Acquirer Model'!K67*'Pro Forma Model'!K6</f>
        <v>34115.180440000011</v>
      </c>
      <c r="L217" s="210">
        <f>'Acquirer Model'!L67*'Pro Forma Model'!L6</f>
        <v>37185.546679600011</v>
      </c>
      <c r="M217" s="210">
        <f>'Acquirer Model'!M67*'Pro Forma Model'!M6</f>
        <v>40160.390413968016</v>
      </c>
      <c r="N217" s="210">
        <f>'Acquirer Model'!N67*'Pro Forma Model'!N6</f>
        <v>42971.617742945775</v>
      </c>
    </row>
    <row r="218" spans="1:14" outlineLevel="1">
      <c r="A218" s="171" t="s">
        <v>1</v>
      </c>
      <c r="D218" s="210"/>
      <c r="E218" s="210"/>
      <c r="F218" s="210"/>
      <c r="G218" s="210"/>
      <c r="H218" s="210"/>
      <c r="I218" s="210">
        <f>'Target Model'!I67*'Pro Forma Model'!I6</f>
        <v>11541.430619559653</v>
      </c>
      <c r="J218" s="210">
        <f>'Target Model'!J67*'Pro Forma Model'!J6</f>
        <v>17867.022401433689</v>
      </c>
      <c r="K218" s="210">
        <f>'Target Model'!K67*'Pro Forma Model'!K6</f>
        <v>20011.065089605734</v>
      </c>
      <c r="L218" s="210">
        <f>'Target Model'!L67*'Pro Forma Model'!L6</f>
        <v>22012.17159856631</v>
      </c>
      <c r="M218" s="210">
        <f>'Target Model'!M67*'Pro Forma Model'!M6</f>
        <v>23773.145326451617</v>
      </c>
      <c r="N218" s="210">
        <f>'Target Model'!N67*'Pro Forma Model'!N6</f>
        <v>25199.534046038716</v>
      </c>
    </row>
    <row r="219" spans="1:14" outlineLevel="1">
      <c r="A219" s="171" t="s">
        <v>115</v>
      </c>
      <c r="J219" s="131">
        <f>-'Deal Assumptions &amp; Analysis'!$H$12*'Deal Assumptions &amp; Analysis'!H15</f>
        <v>-375</v>
      </c>
      <c r="K219" s="131">
        <f>-'Deal Assumptions &amp; Analysis'!$H$12*'Deal Assumptions &amp; Analysis'!$H$16</f>
        <v>-812.5</v>
      </c>
      <c r="L219" s="131">
        <f>-'Deal Assumptions &amp; Analysis'!$H$12*'Deal Assumptions &amp; Analysis'!$H$17</f>
        <v>-1250</v>
      </c>
      <c r="M219" s="131">
        <f>-'Deal Assumptions &amp; Analysis'!$H$12*'Deal Assumptions &amp; Analysis'!$H$17</f>
        <v>-1250</v>
      </c>
      <c r="N219" s="131">
        <f>-'Deal Assumptions &amp; Analysis'!$H$12*'Deal Assumptions &amp; Analysis'!$H$17</f>
        <v>-1250</v>
      </c>
    </row>
    <row r="220" spans="1:14" outlineLevel="1">
      <c r="A220" s="215" t="s">
        <v>180</v>
      </c>
      <c r="B220" s="215"/>
      <c r="C220" s="216"/>
      <c r="D220" s="215"/>
      <c r="E220" s="215"/>
      <c r="F220" s="215"/>
      <c r="G220" s="215"/>
      <c r="H220" s="215"/>
      <c r="I220" s="215">
        <f>SUM(I217:I219)</f>
        <v>32485.815305273944</v>
      </c>
      <c r="J220" s="215">
        <f t="shared" ref="J220:N220" si="87">SUM(J217:J219)</f>
        <v>48505.822801433693</v>
      </c>
      <c r="K220" s="215">
        <f t="shared" si="87"/>
        <v>53313.745529605745</v>
      </c>
      <c r="L220" s="215">
        <f t="shared" si="87"/>
        <v>57947.718278166321</v>
      </c>
      <c r="M220" s="215">
        <f t="shared" si="87"/>
        <v>62683.535740419633</v>
      </c>
      <c r="N220" s="215">
        <f t="shared" si="87"/>
        <v>66921.151788984484</v>
      </c>
    </row>
    <row r="221" spans="1:14" outlineLevel="1"/>
    <row r="222" spans="1:14" outlineLevel="1">
      <c r="A222" s="204" t="s">
        <v>182</v>
      </c>
    </row>
    <row r="223" spans="1:14" outlineLevel="1">
      <c r="A223" s="171" t="s">
        <v>172</v>
      </c>
      <c r="D223" s="210"/>
      <c r="E223" s="210"/>
      <c r="F223" s="210"/>
      <c r="G223" s="210"/>
      <c r="H223" s="210"/>
      <c r="I223" s="210">
        <f>'Acquirer Model'!I68*'Pro Forma Model'!I6</f>
        <v>11142.857142857143</v>
      </c>
      <c r="J223" s="210">
        <f>'Acquirer Model'!J68*'Pro Forma Model'!J6</f>
        <v>15000</v>
      </c>
      <c r="K223" s="210">
        <f>'Acquirer Model'!K68*'Pro Forma Model'!K6</f>
        <v>15000</v>
      </c>
      <c r="L223" s="210">
        <f>'Acquirer Model'!L68*'Pro Forma Model'!L6</f>
        <v>15000</v>
      </c>
      <c r="M223" s="210">
        <f>'Acquirer Model'!M68*'Pro Forma Model'!M6</f>
        <v>15000</v>
      </c>
      <c r="N223" s="210">
        <f>'Acquirer Model'!N68*'Pro Forma Model'!N6</f>
        <v>15000</v>
      </c>
    </row>
    <row r="224" spans="1:14" outlineLevel="1">
      <c r="A224" s="171" t="s">
        <v>1</v>
      </c>
      <c r="D224" s="210"/>
      <c r="E224" s="210"/>
      <c r="F224" s="210"/>
      <c r="G224" s="210"/>
      <c r="H224" s="210"/>
      <c r="I224" s="210">
        <f>'Target Model'!I68*'Pro Forma Model'!I6</f>
        <v>5200</v>
      </c>
      <c r="J224" s="210">
        <f>'Target Model'!J68*'Pro Forma Model'!J6</f>
        <v>7000</v>
      </c>
      <c r="K224" s="210">
        <f>'Target Model'!K68*'Pro Forma Model'!K6</f>
        <v>7000</v>
      </c>
      <c r="L224" s="210">
        <f>'Target Model'!L68*'Pro Forma Model'!L6</f>
        <v>7000</v>
      </c>
      <c r="M224" s="210">
        <f>'Target Model'!M68*'Pro Forma Model'!M6</f>
        <v>7000</v>
      </c>
      <c r="N224" s="210">
        <f>'Target Model'!N68*'Pro Forma Model'!N6</f>
        <v>7000</v>
      </c>
    </row>
    <row r="225" spans="1:14" outlineLevel="1">
      <c r="A225" s="171" t="s">
        <v>115</v>
      </c>
      <c r="J225" s="131">
        <f>-'Deal Assumptions &amp; Analysis'!$H$13*'Deal Assumptions &amp; Analysis'!$H$15</f>
        <v>-300</v>
      </c>
      <c r="K225" s="131">
        <f>-'Deal Assumptions &amp; Analysis'!$H$13*'Deal Assumptions &amp; Analysis'!$H$16</f>
        <v>-650</v>
      </c>
      <c r="L225" s="131">
        <f>-'Deal Assumptions &amp; Analysis'!$H$13*'Deal Assumptions &amp; Analysis'!$H$17</f>
        <v>-1000</v>
      </c>
      <c r="M225" s="131">
        <f>-'Deal Assumptions &amp; Analysis'!$H$13*'Deal Assumptions &amp; Analysis'!$H$17</f>
        <v>-1000</v>
      </c>
      <c r="N225" s="131">
        <f>-'Deal Assumptions &amp; Analysis'!$H$13*'Deal Assumptions &amp; Analysis'!$H$17</f>
        <v>-1000</v>
      </c>
    </row>
    <row r="226" spans="1:14" outlineLevel="1">
      <c r="A226" s="215" t="s">
        <v>180</v>
      </c>
      <c r="B226" s="215"/>
      <c r="C226" s="216"/>
      <c r="D226" s="215"/>
      <c r="E226" s="215"/>
      <c r="F226" s="215"/>
      <c r="G226" s="215"/>
      <c r="H226" s="215"/>
      <c r="I226" s="215">
        <f>SUM(I223:I225)</f>
        <v>16342.857142857143</v>
      </c>
      <c r="J226" s="215">
        <f t="shared" ref="J226:N226" si="88">SUM(J223:J225)</f>
        <v>21700</v>
      </c>
      <c r="K226" s="215">
        <f t="shared" si="88"/>
        <v>21350</v>
      </c>
      <c r="L226" s="215">
        <f t="shared" si="88"/>
        <v>21000</v>
      </c>
      <c r="M226" s="215">
        <f t="shared" si="88"/>
        <v>21000</v>
      </c>
      <c r="N226" s="215">
        <f t="shared" si="88"/>
        <v>21000</v>
      </c>
    </row>
    <row r="227" spans="1:14" outlineLevel="1">
      <c r="A227" s="212"/>
    </row>
    <row r="228" spans="1:14">
      <c r="A228" s="212"/>
    </row>
    <row r="229" spans="1:14">
      <c r="A229" s="212"/>
    </row>
    <row r="230" spans="1:14">
      <c r="A230" s="212"/>
    </row>
    <row r="231" spans="1:14">
      <c r="A231" s="212"/>
    </row>
  </sheetData>
  <conditionalFormatting sqref="D4:N6 D3:G3">
    <cfRule type="containsText" dxfId="33" priority="23" operator="containsText" text="OK">
      <formula>NOT(ISERROR(SEARCH("OK",D3)))</formula>
    </cfRule>
    <cfRule type="containsText" dxfId="3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Normal="100" workbookViewId="0">
      <pane ySplit="6" topLeftCell="A160" activePane="bottomLeft" state="frozen"/>
      <selection activeCell="H141" sqref="H141"/>
      <selection pane="bottomLeft"/>
    </sheetView>
  </sheetViews>
  <sheetFormatPr baseColWidth="10" defaultColWidth="9.1640625" defaultRowHeight="16" outlineLevelRow="1"/>
  <cols>
    <col min="1" max="2" width="14.5" style="8" customWidth="1"/>
    <col min="3" max="3" width="14.5" style="14" customWidth="1"/>
    <col min="4" max="16" width="14.5" style="8" customWidth="1"/>
    <col min="17" max="16384" width="9.1640625" style="8"/>
  </cols>
  <sheetData>
    <row r="1" spans="1:16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46" t="s">
        <v>213</v>
      </c>
      <c r="P1" s="147"/>
    </row>
    <row r="2" spans="1:16" ht="21" customHeight="1">
      <c r="A2" s="9" t="str">
        <f>'Deal Assumptions &amp; Analysis'!D7&amp; " Model"</f>
        <v>Company X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48">
        <f>O4</f>
        <v>42840</v>
      </c>
      <c r="P2" s="148">
        <f>+P4</f>
        <v>43100</v>
      </c>
    </row>
    <row r="3" spans="1:16" hidden="1" outlineLevel="1">
      <c r="A3" s="124" t="s">
        <v>12</v>
      </c>
      <c r="B3" s="124"/>
      <c r="C3" s="149"/>
      <c r="D3" s="150" t="str">
        <f t="shared" ref="D3:P3" si="1">IFERROR(IF(ABS(D101)&gt;1,"ERROR","ok"),"ok")</f>
        <v>ok</v>
      </c>
      <c r="E3" s="150" t="str">
        <f t="shared" si="1"/>
        <v>ok</v>
      </c>
      <c r="F3" s="150" t="str">
        <f t="shared" si="1"/>
        <v>ok</v>
      </c>
      <c r="G3" s="150" t="str">
        <f t="shared" si="1"/>
        <v>ok</v>
      </c>
      <c r="H3" s="150" t="str">
        <f t="shared" si="1"/>
        <v>ok</v>
      </c>
      <c r="I3" s="150" t="str">
        <f t="shared" si="1"/>
        <v>ok</v>
      </c>
      <c r="J3" s="150" t="str">
        <f t="shared" si="1"/>
        <v>ok</v>
      </c>
      <c r="K3" s="150" t="str">
        <f t="shared" si="1"/>
        <v>ok</v>
      </c>
      <c r="L3" s="150" t="str">
        <f t="shared" si="1"/>
        <v>ok</v>
      </c>
      <c r="M3" s="150" t="str">
        <f t="shared" si="1"/>
        <v>ok</v>
      </c>
      <c r="N3" s="150" t="str">
        <f t="shared" si="1"/>
        <v>ok</v>
      </c>
      <c r="O3" s="150" t="str">
        <f t="shared" si="1"/>
        <v>ok</v>
      </c>
      <c r="P3" s="150" t="str">
        <f t="shared" si="1"/>
        <v>ok</v>
      </c>
    </row>
    <row r="4" spans="1:16" hidden="1" outlineLevel="1">
      <c r="A4" s="124" t="s">
        <v>156</v>
      </c>
      <c r="D4" s="120">
        <v>41274</v>
      </c>
      <c r="E4" s="119">
        <f>EOMONTH(D4,12)</f>
        <v>41639</v>
      </c>
      <c r="F4" s="119">
        <f t="shared" ref="F4:N4" si="2">EOMONTH(E4,12)</f>
        <v>42004</v>
      </c>
      <c r="G4" s="119">
        <f t="shared" si="2"/>
        <v>42369</v>
      </c>
      <c r="H4" s="119">
        <f t="shared" si="2"/>
        <v>42735</v>
      </c>
      <c r="I4" s="119">
        <f t="shared" si="2"/>
        <v>43100</v>
      </c>
      <c r="J4" s="119">
        <f t="shared" si="2"/>
        <v>43465</v>
      </c>
      <c r="K4" s="119">
        <f t="shared" si="2"/>
        <v>43830</v>
      </c>
      <c r="L4" s="119">
        <f t="shared" si="2"/>
        <v>44196</v>
      </c>
      <c r="M4" s="119">
        <f t="shared" si="2"/>
        <v>44561</v>
      </c>
      <c r="N4" s="119">
        <f t="shared" si="2"/>
        <v>44926</v>
      </c>
      <c r="O4" s="121">
        <f>'Deal Assumptions &amp; Analysis'!D11</f>
        <v>42840</v>
      </c>
      <c r="P4" s="119">
        <f>EOMONTH(O4,P6*12)</f>
        <v>43100</v>
      </c>
    </row>
    <row r="5" spans="1:16" hidden="1" outlineLevel="1">
      <c r="A5" s="124" t="s">
        <v>157</v>
      </c>
      <c r="D5" s="125">
        <v>366</v>
      </c>
      <c r="E5" s="123">
        <f>E4-D4</f>
        <v>365</v>
      </c>
      <c r="F5" s="123">
        <f t="shared" ref="F5:N5" si="3">F4-E4</f>
        <v>365</v>
      </c>
      <c r="G5" s="123">
        <f t="shared" si="3"/>
        <v>365</v>
      </c>
      <c r="H5" s="123">
        <f t="shared" si="3"/>
        <v>366</v>
      </c>
      <c r="I5" s="123">
        <f t="shared" si="3"/>
        <v>365</v>
      </c>
      <c r="J5" s="123">
        <f t="shared" si="3"/>
        <v>365</v>
      </c>
      <c r="K5" s="123">
        <f t="shared" si="3"/>
        <v>365</v>
      </c>
      <c r="L5" s="123">
        <f t="shared" si="3"/>
        <v>366</v>
      </c>
      <c r="M5" s="123">
        <f t="shared" si="3"/>
        <v>365</v>
      </c>
      <c r="N5" s="123">
        <f t="shared" si="3"/>
        <v>365</v>
      </c>
      <c r="O5" s="123">
        <f>O4-H4</f>
        <v>105</v>
      </c>
      <c r="P5" s="123">
        <f>P4-O4</f>
        <v>260</v>
      </c>
    </row>
    <row r="6" spans="1:16" hidden="1" outlineLevel="1">
      <c r="A6" s="124" t="s">
        <v>158</v>
      </c>
      <c r="D6" s="126">
        <v>1</v>
      </c>
      <c r="E6" s="127">
        <f>D6</f>
        <v>1</v>
      </c>
      <c r="F6" s="127">
        <f t="shared" ref="F6:N6" si="4">E6</f>
        <v>1</v>
      </c>
      <c r="G6" s="127">
        <f t="shared" si="4"/>
        <v>1</v>
      </c>
      <c r="H6" s="127">
        <f t="shared" si="4"/>
        <v>1</v>
      </c>
      <c r="I6" s="127">
        <f t="shared" si="4"/>
        <v>1</v>
      </c>
      <c r="J6" s="127">
        <f t="shared" si="4"/>
        <v>1</v>
      </c>
      <c r="K6" s="127">
        <f t="shared" si="4"/>
        <v>1</v>
      </c>
      <c r="L6" s="127">
        <f t="shared" si="4"/>
        <v>1</v>
      </c>
      <c r="M6" s="127">
        <f t="shared" si="4"/>
        <v>1</v>
      </c>
      <c r="N6" s="127">
        <f t="shared" si="4"/>
        <v>1</v>
      </c>
      <c r="O6" s="127">
        <f>ROUND((O4-H4)/365,2)</f>
        <v>0.28999999999999998</v>
      </c>
      <c r="P6" s="128">
        <f>N6-O6</f>
        <v>0.71</v>
      </c>
    </row>
    <row r="7" spans="1:16" collapsed="1"/>
    <row r="8" spans="1:16" ht="20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idden="1" outlineLevel="1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hidden="1" outlineLevel="1">
      <c r="D10" s="19"/>
      <c r="E10" s="19"/>
      <c r="F10" s="19"/>
      <c r="G10" s="15"/>
      <c r="H10" s="15" t="s">
        <v>13</v>
      </c>
      <c r="I10" s="130">
        <v>1</v>
      </c>
      <c r="J10" s="15"/>
      <c r="L10" s="20"/>
      <c r="M10" s="20"/>
      <c r="N10" s="20"/>
    </row>
    <row r="11" spans="1:16" hidden="1" outlineLevel="1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s="22" customFormat="1" hidden="1" outlineLevel="1">
      <c r="A12" s="21" t="s">
        <v>15</v>
      </c>
      <c r="C12" s="23"/>
      <c r="H12" s="24"/>
      <c r="I12" s="25"/>
      <c r="J12" s="25"/>
      <c r="K12" s="25"/>
      <c r="L12" s="25"/>
      <c r="M12" s="25"/>
      <c r="N12" s="25"/>
    </row>
    <row r="13" spans="1:16" hidden="1" outlineLevel="1">
      <c r="A13" s="26" t="s">
        <v>16</v>
      </c>
      <c r="B13" s="27"/>
      <c r="C13" s="28"/>
      <c r="D13" s="29"/>
      <c r="E13" s="30"/>
      <c r="F13" s="30"/>
      <c r="G13" s="30"/>
      <c r="H13" s="30"/>
      <c r="I13" s="31">
        <v>0.1</v>
      </c>
      <c r="J13" s="31">
        <v>0.1</v>
      </c>
      <c r="K13" s="31">
        <v>0.1</v>
      </c>
      <c r="L13" s="31">
        <v>0.09</v>
      </c>
      <c r="M13" s="31">
        <v>0.08</v>
      </c>
      <c r="N13" s="31">
        <v>7.0000000000000007E-2</v>
      </c>
      <c r="O13" s="31">
        <v>0.1</v>
      </c>
      <c r="P13" s="31">
        <v>0.1</v>
      </c>
    </row>
    <row r="14" spans="1:16" hidden="1" outlineLevel="1">
      <c r="A14" s="32" t="s">
        <v>17</v>
      </c>
      <c r="B14" s="32"/>
      <c r="C14" s="33"/>
      <c r="D14" s="34"/>
      <c r="E14" s="34"/>
      <c r="F14" s="34"/>
      <c r="G14" s="34"/>
      <c r="H14" s="34"/>
      <c r="I14" s="35">
        <v>0.42</v>
      </c>
      <c r="J14" s="35">
        <v>0.43</v>
      </c>
      <c r="K14" s="35">
        <v>0.44</v>
      </c>
      <c r="L14" s="35">
        <v>0.45</v>
      </c>
      <c r="M14" s="35">
        <v>0.46</v>
      </c>
      <c r="N14" s="35">
        <v>0.46</v>
      </c>
      <c r="O14" s="35">
        <v>0.42</v>
      </c>
      <c r="P14" s="35">
        <v>0.42</v>
      </c>
    </row>
    <row r="15" spans="1:16" hidden="1" outlineLevel="1">
      <c r="A15" s="32" t="s">
        <v>18</v>
      </c>
      <c r="B15" s="32"/>
      <c r="C15" s="33"/>
      <c r="D15" s="34"/>
      <c r="E15" s="34"/>
      <c r="F15" s="34"/>
      <c r="G15" s="34"/>
      <c r="H15" s="34"/>
      <c r="I15" s="35">
        <v>0.17</v>
      </c>
      <c r="J15" s="35">
        <v>0.17</v>
      </c>
      <c r="K15" s="35">
        <v>0.17</v>
      </c>
      <c r="L15" s="35">
        <v>0.17</v>
      </c>
      <c r="M15" s="35">
        <v>0.17</v>
      </c>
      <c r="N15" s="35">
        <v>0.17</v>
      </c>
      <c r="O15" s="35">
        <v>0.17</v>
      </c>
      <c r="P15" s="35">
        <v>0.17</v>
      </c>
    </row>
    <row r="16" spans="1:16" hidden="1" outlineLevel="1">
      <c r="A16" s="32" t="s">
        <v>19</v>
      </c>
      <c r="B16" s="32"/>
      <c r="C16" s="33"/>
      <c r="D16" s="36"/>
      <c r="E16" s="36"/>
      <c r="F16" s="36"/>
      <c r="G16" s="36"/>
      <c r="H16" s="36"/>
      <c r="I16" s="37">
        <v>15000</v>
      </c>
      <c r="J16" s="37">
        <v>15000</v>
      </c>
      <c r="K16" s="37">
        <v>15000</v>
      </c>
      <c r="L16" s="37">
        <v>15000</v>
      </c>
      <c r="M16" s="37">
        <v>15000</v>
      </c>
      <c r="N16" s="37">
        <v>15000</v>
      </c>
      <c r="O16" s="37">
        <v>15000</v>
      </c>
      <c r="P16" s="37">
        <v>15000</v>
      </c>
    </row>
    <row r="17" spans="1:16" hidden="1" outlineLevel="1">
      <c r="A17" s="32" t="s">
        <v>20</v>
      </c>
      <c r="B17" s="32"/>
      <c r="C17" s="33"/>
      <c r="D17" s="34"/>
      <c r="E17" s="34"/>
      <c r="F17" s="34"/>
      <c r="G17" s="34"/>
      <c r="H17" s="34"/>
      <c r="I17" s="35">
        <v>0.2</v>
      </c>
      <c r="J17" s="35">
        <v>0.2</v>
      </c>
      <c r="K17" s="35">
        <v>0.2</v>
      </c>
      <c r="L17" s="35">
        <v>0.2</v>
      </c>
      <c r="M17" s="35">
        <v>0.2</v>
      </c>
      <c r="N17" s="35">
        <v>0.2</v>
      </c>
      <c r="O17" s="35">
        <v>0.2</v>
      </c>
      <c r="P17" s="35">
        <v>0.2</v>
      </c>
    </row>
    <row r="18" spans="1:16" hidden="1" outlineLevel="1">
      <c r="A18" s="32" t="s">
        <v>21</v>
      </c>
      <c r="B18" s="32"/>
      <c r="C18" s="33"/>
      <c r="D18" s="34"/>
      <c r="E18" s="34"/>
      <c r="F18" s="34"/>
      <c r="G18" s="34"/>
      <c r="H18" s="34"/>
      <c r="I18" s="35">
        <v>0.1</v>
      </c>
      <c r="J18" s="35">
        <v>0.1</v>
      </c>
      <c r="K18" s="35">
        <v>0.1</v>
      </c>
      <c r="L18" s="35">
        <v>0.1</v>
      </c>
      <c r="M18" s="35">
        <v>0.1</v>
      </c>
      <c r="N18" s="35">
        <v>0.1</v>
      </c>
      <c r="O18" s="35">
        <v>0.1</v>
      </c>
      <c r="P18" s="35">
        <v>0.1</v>
      </c>
    </row>
    <row r="19" spans="1:16" hidden="1" outlineLevel="1">
      <c r="A19" s="32" t="s">
        <v>22</v>
      </c>
      <c r="B19" s="38"/>
      <c r="C19" s="39"/>
      <c r="D19" s="34"/>
      <c r="E19" s="34"/>
      <c r="F19" s="34"/>
      <c r="G19" s="34"/>
      <c r="H19" s="34"/>
      <c r="I19" s="35">
        <v>0.28000000000000003</v>
      </c>
      <c r="J19" s="35">
        <v>0.28000000000000003</v>
      </c>
      <c r="K19" s="35">
        <v>0.28000000000000003</v>
      </c>
      <c r="L19" s="35">
        <v>0.28000000000000003</v>
      </c>
      <c r="M19" s="35">
        <v>0.28000000000000003</v>
      </c>
      <c r="N19" s="35">
        <v>0.28000000000000003</v>
      </c>
      <c r="O19" s="35">
        <v>0.28000000000000003</v>
      </c>
      <c r="P19" s="35">
        <v>0.28000000000000003</v>
      </c>
    </row>
    <row r="20" spans="1:16" hidden="1" outlineLevel="1">
      <c r="A20" s="8" t="s">
        <v>23</v>
      </c>
      <c r="C20" s="40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hidden="1" outlineLevel="1">
      <c r="A21" s="8" t="s">
        <v>24</v>
      </c>
      <c r="C21" s="40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hidden="1" outlineLevel="1">
      <c r="A22" s="8" t="s">
        <v>25</v>
      </c>
      <c r="C22" s="40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hidden="1" outlineLevel="1">
      <c r="A23" s="8" t="s">
        <v>26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hidden="1" outlineLevel="1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hidden="1" outlineLevel="1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hidden="1" outlineLevel="1">
      <c r="A26" s="8" t="s">
        <v>209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hidden="1" outlineLevel="1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s="22" customFormat="1" hidden="1" outlineLevel="1">
      <c r="A28" s="21" t="s">
        <v>29</v>
      </c>
      <c r="C28" s="23"/>
      <c r="H28" s="24"/>
      <c r="I28" s="25"/>
      <c r="J28" s="25"/>
      <c r="K28" s="25"/>
      <c r="L28" s="25"/>
      <c r="M28" s="25"/>
      <c r="N28" s="25"/>
    </row>
    <row r="29" spans="1:16" hidden="1" outlineLevel="1">
      <c r="A29" s="26" t="s">
        <v>16</v>
      </c>
      <c r="B29" s="27"/>
      <c r="C29" s="28"/>
      <c r="D29" s="29"/>
      <c r="E29" s="30"/>
      <c r="F29" s="30"/>
      <c r="G29" s="30"/>
      <c r="H29" s="30"/>
      <c r="I29" s="31">
        <v>0.05</v>
      </c>
      <c r="J29" s="31">
        <v>4.4999999999999998E-2</v>
      </c>
      <c r="K29" s="31">
        <v>0.04</v>
      </c>
      <c r="L29" s="31">
        <v>3.5000000000000003E-2</v>
      </c>
      <c r="M29" s="31">
        <v>0.03</v>
      </c>
      <c r="N29" s="31">
        <v>0.03</v>
      </c>
      <c r="O29" s="31">
        <v>0.05</v>
      </c>
      <c r="P29" s="31">
        <v>0.05</v>
      </c>
    </row>
    <row r="30" spans="1:16" hidden="1" outlineLevel="1">
      <c r="A30" s="32" t="s">
        <v>17</v>
      </c>
      <c r="B30" s="32"/>
      <c r="C30" s="33"/>
      <c r="D30" s="34"/>
      <c r="E30" s="34"/>
      <c r="F30" s="34"/>
      <c r="G30" s="34"/>
      <c r="H30" s="34"/>
      <c r="I30" s="35">
        <v>0.37</v>
      </c>
      <c r="J30" s="35">
        <v>0.37</v>
      </c>
      <c r="K30" s="35">
        <v>0.36</v>
      </c>
      <c r="L30" s="35">
        <v>0.36</v>
      </c>
      <c r="M30" s="35">
        <v>0.35</v>
      </c>
      <c r="N30" s="35">
        <v>0.35</v>
      </c>
      <c r="O30" s="35">
        <v>0.37</v>
      </c>
      <c r="P30" s="35">
        <v>0.37</v>
      </c>
    </row>
    <row r="31" spans="1:16" hidden="1" outlineLevel="1">
      <c r="A31" s="32" t="s">
        <v>18</v>
      </c>
      <c r="B31" s="32"/>
      <c r="C31" s="33"/>
      <c r="D31" s="34"/>
      <c r="E31" s="34"/>
      <c r="F31" s="34"/>
      <c r="G31" s="34"/>
      <c r="H31" s="34"/>
      <c r="I31" s="35">
        <v>0.17</v>
      </c>
      <c r="J31" s="35">
        <v>0.17</v>
      </c>
      <c r="K31" s="35">
        <v>0.17</v>
      </c>
      <c r="L31" s="35">
        <v>0.17</v>
      </c>
      <c r="M31" s="35">
        <v>0.17</v>
      </c>
      <c r="N31" s="35">
        <v>0.17</v>
      </c>
      <c r="O31" s="35">
        <v>0.17</v>
      </c>
      <c r="P31" s="35">
        <v>0.17</v>
      </c>
    </row>
    <row r="32" spans="1:16" hidden="1" outlineLevel="1">
      <c r="A32" s="32" t="s">
        <v>19</v>
      </c>
      <c r="B32" s="32"/>
      <c r="C32" s="33"/>
      <c r="D32" s="36"/>
      <c r="E32" s="36"/>
      <c r="F32" s="36"/>
      <c r="G32" s="36"/>
      <c r="H32" s="36"/>
      <c r="I32" s="37">
        <v>10000</v>
      </c>
      <c r="J32" s="37">
        <v>10000</v>
      </c>
      <c r="K32" s="37">
        <v>10000</v>
      </c>
      <c r="L32" s="37">
        <v>10000</v>
      </c>
      <c r="M32" s="37">
        <v>10000</v>
      </c>
      <c r="N32" s="37">
        <v>10000</v>
      </c>
      <c r="O32" s="37">
        <v>10000</v>
      </c>
      <c r="P32" s="37">
        <v>10000</v>
      </c>
    </row>
    <row r="33" spans="1:16" hidden="1" outlineLevel="1">
      <c r="A33" s="32" t="s">
        <v>20</v>
      </c>
      <c r="B33" s="32"/>
      <c r="C33" s="33"/>
      <c r="D33" s="34"/>
      <c r="E33" s="34"/>
      <c r="F33" s="34"/>
      <c r="G33" s="34"/>
      <c r="H33" s="34"/>
      <c r="I33" s="35">
        <v>0.2</v>
      </c>
      <c r="J33" s="35">
        <v>0.2</v>
      </c>
      <c r="K33" s="35">
        <v>0.2</v>
      </c>
      <c r="L33" s="35">
        <v>0.2</v>
      </c>
      <c r="M33" s="35">
        <v>0.2</v>
      </c>
      <c r="N33" s="35">
        <v>0.2</v>
      </c>
      <c r="O33" s="35">
        <v>0.2</v>
      </c>
      <c r="P33" s="35">
        <v>0.2</v>
      </c>
    </row>
    <row r="34" spans="1:16" hidden="1" outlineLevel="1">
      <c r="A34" s="32" t="s">
        <v>21</v>
      </c>
      <c r="B34" s="32"/>
      <c r="C34" s="33"/>
      <c r="D34" s="34"/>
      <c r="E34" s="34"/>
      <c r="F34" s="34"/>
      <c r="G34" s="34"/>
      <c r="H34" s="34"/>
      <c r="I34" s="35">
        <v>0.05</v>
      </c>
      <c r="J34" s="35">
        <v>0.05</v>
      </c>
      <c r="K34" s="35">
        <v>0.05</v>
      </c>
      <c r="L34" s="35">
        <v>0.05</v>
      </c>
      <c r="M34" s="35">
        <v>0.05</v>
      </c>
      <c r="N34" s="35">
        <v>0.05</v>
      </c>
      <c r="O34" s="35">
        <v>0.05</v>
      </c>
      <c r="P34" s="35">
        <v>0.05</v>
      </c>
    </row>
    <row r="35" spans="1:16" hidden="1" outlineLevel="1">
      <c r="A35" s="32" t="s">
        <v>22</v>
      </c>
      <c r="B35" s="38"/>
      <c r="C35" s="39"/>
      <c r="D35" s="34"/>
      <c r="E35" s="34"/>
      <c r="F35" s="34"/>
      <c r="G35" s="34"/>
      <c r="H35" s="34"/>
      <c r="I35" s="35">
        <v>0.28000000000000003</v>
      </c>
      <c r="J35" s="35">
        <v>0.28000000000000003</v>
      </c>
      <c r="K35" s="35">
        <v>0.28000000000000003</v>
      </c>
      <c r="L35" s="35">
        <v>0.28000000000000003</v>
      </c>
      <c r="M35" s="35">
        <v>0.28000000000000003</v>
      </c>
      <c r="N35" s="35">
        <v>0.28000000000000003</v>
      </c>
      <c r="O35" s="35">
        <v>0.28000000000000003</v>
      </c>
      <c r="P35" s="35">
        <v>0.28000000000000003</v>
      </c>
    </row>
    <row r="36" spans="1:16" hidden="1" outlineLevel="1">
      <c r="A36" s="8" t="s">
        <v>23</v>
      </c>
      <c r="C36" s="40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hidden="1" outlineLevel="1">
      <c r="A37" s="8" t="s">
        <v>24</v>
      </c>
      <c r="C37" s="40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hidden="1" outlineLevel="1">
      <c r="A38" s="8" t="s">
        <v>25</v>
      </c>
      <c r="C38" s="40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hidden="1" outlineLevel="1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hidden="1" outlineLevel="1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hidden="1" outlineLevel="1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hidden="1" outlineLevel="1">
      <c r="A42" s="8" t="s">
        <v>209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hidden="1" outlineLevel="1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hidden="1" outlineLevel="1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hidden="1" outlineLevel="1">
      <c r="A45" s="26" t="s">
        <v>16</v>
      </c>
      <c r="B45" s="27"/>
      <c r="C45" s="28"/>
      <c r="D45" s="29"/>
      <c r="E45" s="30"/>
      <c r="F45" s="30"/>
      <c r="G45" s="30"/>
      <c r="H45" s="30"/>
      <c r="I45" s="30">
        <f t="shared" ref="I45:P58" si="5">CHOOSE($I$10,I13,I29)</f>
        <v>0.1</v>
      </c>
      <c r="J45" s="30">
        <f t="shared" si="5"/>
        <v>0.1</v>
      </c>
      <c r="K45" s="30">
        <f t="shared" si="5"/>
        <v>0.1</v>
      </c>
      <c r="L45" s="30">
        <f t="shared" si="5"/>
        <v>0.09</v>
      </c>
      <c r="M45" s="30">
        <f t="shared" si="5"/>
        <v>0.08</v>
      </c>
      <c r="N45" s="30">
        <f t="shared" si="5"/>
        <v>7.0000000000000007E-2</v>
      </c>
      <c r="O45" s="30">
        <f t="shared" si="5"/>
        <v>0.1</v>
      </c>
      <c r="P45" s="30">
        <f t="shared" si="5"/>
        <v>0.1</v>
      </c>
    </row>
    <row r="46" spans="1:16" hidden="1" outlineLevel="1">
      <c r="A46" s="32" t="s">
        <v>17</v>
      </c>
      <c r="B46" s="32"/>
      <c r="C46" s="33"/>
      <c r="D46" s="34"/>
      <c r="E46" s="34"/>
      <c r="F46" s="34"/>
      <c r="G46" s="34"/>
      <c r="H46" s="34"/>
      <c r="I46" s="34">
        <f t="shared" si="5"/>
        <v>0.42</v>
      </c>
      <c r="J46" s="34">
        <f t="shared" si="5"/>
        <v>0.43</v>
      </c>
      <c r="K46" s="34">
        <f t="shared" si="5"/>
        <v>0.44</v>
      </c>
      <c r="L46" s="34">
        <f t="shared" si="5"/>
        <v>0.45</v>
      </c>
      <c r="M46" s="34">
        <f t="shared" si="5"/>
        <v>0.46</v>
      </c>
      <c r="N46" s="34">
        <f t="shared" si="5"/>
        <v>0.46</v>
      </c>
      <c r="O46" s="34">
        <f t="shared" si="5"/>
        <v>0.42</v>
      </c>
      <c r="P46" s="34">
        <f t="shared" si="5"/>
        <v>0.42</v>
      </c>
    </row>
    <row r="47" spans="1:16" hidden="1" outlineLevel="1">
      <c r="A47" s="32" t="s">
        <v>184</v>
      </c>
      <c r="B47" s="32"/>
      <c r="C47" s="33"/>
      <c r="D47" s="34"/>
      <c r="E47" s="34"/>
      <c r="F47" s="34"/>
      <c r="G47" s="34"/>
      <c r="H47" s="34"/>
      <c r="I47" s="34">
        <f t="shared" si="5"/>
        <v>0.17</v>
      </c>
      <c r="J47" s="34">
        <f t="shared" si="5"/>
        <v>0.17</v>
      </c>
      <c r="K47" s="34">
        <f t="shared" si="5"/>
        <v>0.17</v>
      </c>
      <c r="L47" s="34">
        <f t="shared" si="5"/>
        <v>0.17</v>
      </c>
      <c r="M47" s="34">
        <f t="shared" si="5"/>
        <v>0.17</v>
      </c>
      <c r="N47" s="34">
        <f t="shared" si="5"/>
        <v>0.17</v>
      </c>
      <c r="O47" s="34">
        <f t="shared" si="5"/>
        <v>0.17</v>
      </c>
      <c r="P47" s="34">
        <f t="shared" si="5"/>
        <v>0.17</v>
      </c>
    </row>
    <row r="48" spans="1:16" hidden="1" outlineLevel="1">
      <c r="A48" s="32" t="s">
        <v>183</v>
      </c>
      <c r="B48" s="32"/>
      <c r="C48" s="33"/>
      <c r="D48" s="36"/>
      <c r="E48" s="36"/>
      <c r="F48" s="36"/>
      <c r="G48" s="36"/>
      <c r="H48" s="36"/>
      <c r="I48" s="36">
        <f t="shared" si="5"/>
        <v>15000</v>
      </c>
      <c r="J48" s="36">
        <f t="shared" si="5"/>
        <v>15000</v>
      </c>
      <c r="K48" s="36">
        <f t="shared" si="5"/>
        <v>15000</v>
      </c>
      <c r="L48" s="36">
        <f t="shared" si="5"/>
        <v>15000</v>
      </c>
      <c r="M48" s="36">
        <f t="shared" si="5"/>
        <v>15000</v>
      </c>
      <c r="N48" s="36">
        <f t="shared" si="5"/>
        <v>15000</v>
      </c>
      <c r="O48" s="36">
        <f t="shared" si="5"/>
        <v>15000</v>
      </c>
      <c r="P48" s="36">
        <f t="shared" si="5"/>
        <v>15000</v>
      </c>
    </row>
    <row r="49" spans="1:16" hidden="1" outlineLevel="1">
      <c r="A49" s="32" t="s">
        <v>20</v>
      </c>
      <c r="B49" s="32"/>
      <c r="C49" s="33"/>
      <c r="D49" s="34"/>
      <c r="E49" s="34"/>
      <c r="F49" s="34"/>
      <c r="G49" s="34"/>
      <c r="H49" s="34"/>
      <c r="I49" s="34">
        <f t="shared" si="5"/>
        <v>0.2</v>
      </c>
      <c r="J49" s="34">
        <f t="shared" si="5"/>
        <v>0.2</v>
      </c>
      <c r="K49" s="34">
        <f t="shared" si="5"/>
        <v>0.2</v>
      </c>
      <c r="L49" s="34">
        <f t="shared" si="5"/>
        <v>0.2</v>
      </c>
      <c r="M49" s="34">
        <f t="shared" si="5"/>
        <v>0.2</v>
      </c>
      <c r="N49" s="34">
        <f t="shared" si="5"/>
        <v>0.2</v>
      </c>
      <c r="O49" s="34">
        <f t="shared" si="5"/>
        <v>0.2</v>
      </c>
      <c r="P49" s="34">
        <f t="shared" si="5"/>
        <v>0.2</v>
      </c>
    </row>
    <row r="50" spans="1:16" hidden="1" outlineLevel="1">
      <c r="A50" s="32" t="s">
        <v>21</v>
      </c>
      <c r="B50" s="32"/>
      <c r="C50" s="33"/>
      <c r="D50" s="34"/>
      <c r="E50" s="34"/>
      <c r="F50" s="34"/>
      <c r="G50" s="34"/>
      <c r="H50" s="34"/>
      <c r="I50" s="34">
        <f t="shared" si="5"/>
        <v>0.1</v>
      </c>
      <c r="J50" s="34">
        <f t="shared" si="5"/>
        <v>0.1</v>
      </c>
      <c r="K50" s="34">
        <f t="shared" si="5"/>
        <v>0.1</v>
      </c>
      <c r="L50" s="34">
        <f t="shared" si="5"/>
        <v>0.1</v>
      </c>
      <c r="M50" s="34">
        <f t="shared" si="5"/>
        <v>0.1</v>
      </c>
      <c r="N50" s="34">
        <f t="shared" si="5"/>
        <v>0.1</v>
      </c>
      <c r="O50" s="34">
        <f t="shared" si="5"/>
        <v>0.1</v>
      </c>
      <c r="P50" s="34">
        <f t="shared" si="5"/>
        <v>0.1</v>
      </c>
    </row>
    <row r="51" spans="1:16" hidden="1" outlineLevel="1">
      <c r="A51" s="32" t="s">
        <v>22</v>
      </c>
      <c r="B51" s="38"/>
      <c r="C51" s="39"/>
      <c r="D51" s="34"/>
      <c r="E51" s="34"/>
      <c r="F51" s="34"/>
      <c r="G51" s="34"/>
      <c r="H51" s="34"/>
      <c r="I51" s="34">
        <f t="shared" si="5"/>
        <v>0.28000000000000003</v>
      </c>
      <c r="J51" s="34">
        <f t="shared" si="5"/>
        <v>0.28000000000000003</v>
      </c>
      <c r="K51" s="34">
        <f t="shared" si="5"/>
        <v>0.28000000000000003</v>
      </c>
      <c r="L51" s="34">
        <f t="shared" si="5"/>
        <v>0.28000000000000003</v>
      </c>
      <c r="M51" s="34">
        <f t="shared" si="5"/>
        <v>0.28000000000000003</v>
      </c>
      <c r="N51" s="34">
        <f t="shared" si="5"/>
        <v>0.28000000000000003</v>
      </c>
      <c r="O51" s="34">
        <f t="shared" si="5"/>
        <v>0.28000000000000003</v>
      </c>
      <c r="P51" s="34">
        <f t="shared" si="5"/>
        <v>0.28000000000000003</v>
      </c>
    </row>
    <row r="52" spans="1:16" hidden="1" outlineLevel="1">
      <c r="A52" s="8" t="s">
        <v>23</v>
      </c>
      <c r="C52" s="40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si="5"/>
        <v>18</v>
      </c>
      <c r="P52" s="19">
        <f t="shared" si="5"/>
        <v>18</v>
      </c>
    </row>
    <row r="53" spans="1:16" hidden="1" outlineLevel="1">
      <c r="A53" s="8" t="s">
        <v>24</v>
      </c>
      <c r="C53" s="40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si="5"/>
        <v>80</v>
      </c>
      <c r="P53" s="19">
        <f t="shared" si="5"/>
        <v>80</v>
      </c>
    </row>
    <row r="54" spans="1:16" hidden="1" outlineLevel="1">
      <c r="A54" s="8" t="s">
        <v>25</v>
      </c>
      <c r="C54" s="40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si="5"/>
        <v>37</v>
      </c>
      <c r="P54" s="19">
        <f t="shared" si="5"/>
        <v>37</v>
      </c>
    </row>
    <row r="55" spans="1:16" hidden="1" outlineLevel="1">
      <c r="A55" s="8" t="s">
        <v>26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si="5"/>
        <v>15000</v>
      </c>
      <c r="P55" s="19">
        <f t="shared" si="5"/>
        <v>15000</v>
      </c>
    </row>
    <row r="56" spans="1:16" hidden="1" outlineLevel="1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si="5"/>
        <v>0</v>
      </c>
      <c r="P56" s="19">
        <f t="shared" si="5"/>
        <v>0</v>
      </c>
    </row>
    <row r="57" spans="1:16" hidden="1" outlineLevel="1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si="5"/>
        <v>0</v>
      </c>
      <c r="P57" s="19">
        <f t="shared" si="5"/>
        <v>0</v>
      </c>
    </row>
    <row r="58" spans="1:16" hidden="1" outlineLevel="1">
      <c r="A58" s="8" t="s">
        <v>209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si="5"/>
        <v>0</v>
      </c>
      <c r="P58" s="19">
        <f t="shared" si="5"/>
        <v>0</v>
      </c>
    </row>
    <row r="59" spans="1:16" hidden="1" outlineLevel="1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collapsed="1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>
      <c r="A62" s="41"/>
      <c r="B62" s="41"/>
      <c r="C62" s="42"/>
      <c r="D62" s="43"/>
      <c r="E62" s="43"/>
      <c r="F62" s="43"/>
      <c r="G62" s="43"/>
      <c r="H62" s="43"/>
      <c r="I62" s="44"/>
      <c r="J62" s="44"/>
      <c r="K62" s="44"/>
      <c r="L62" s="44"/>
      <c r="M62" s="44"/>
      <c r="N62" s="44"/>
    </row>
    <row r="63" spans="1:16" outlineLevel="1">
      <c r="A63" s="21" t="s">
        <v>9</v>
      </c>
      <c r="B63" s="21"/>
      <c r="C63" s="45"/>
      <c r="D63" s="46">
        <v>102007</v>
      </c>
      <c r="E63" s="46">
        <v>118086</v>
      </c>
      <c r="F63" s="46">
        <v>131345</v>
      </c>
      <c r="G63" s="46">
        <v>142341</v>
      </c>
      <c r="H63" s="46">
        <v>150772</v>
      </c>
      <c r="I63" s="47">
        <f t="shared" ref="I63:N63" si="6">H63*((1+I45))</f>
        <v>165849.20000000001</v>
      </c>
      <c r="J63" s="47">
        <f t="shared" si="6"/>
        <v>182434.12000000002</v>
      </c>
      <c r="K63" s="47">
        <f t="shared" si="6"/>
        <v>200677.53200000004</v>
      </c>
      <c r="L63" s="47">
        <f t="shared" si="6"/>
        <v>218738.50988000006</v>
      </c>
      <c r="M63" s="47">
        <f t="shared" si="6"/>
        <v>236237.59067040007</v>
      </c>
      <c r="N63" s="47">
        <f t="shared" si="6"/>
        <v>252774.22201732808</v>
      </c>
      <c r="O63" s="115">
        <f>I63*O$6</f>
        <v>48096.268000000004</v>
      </c>
      <c r="P63" s="115">
        <f>I63*P$6</f>
        <v>117752.932</v>
      </c>
    </row>
    <row r="64" spans="1:16" outlineLevel="1">
      <c r="A64" s="32" t="s">
        <v>31</v>
      </c>
      <c r="B64" s="32"/>
      <c r="C64" s="33"/>
      <c r="D64" s="48">
        <v>39023</v>
      </c>
      <c r="E64" s="48">
        <v>48004</v>
      </c>
      <c r="F64" s="48">
        <v>49123</v>
      </c>
      <c r="G64" s="48">
        <v>52654</v>
      </c>
      <c r="H64" s="48">
        <v>56710</v>
      </c>
      <c r="I64" s="49">
        <f t="shared" ref="I64:N64" si="7">I63*(I46)</f>
        <v>69656.664000000004</v>
      </c>
      <c r="J64" s="49">
        <f t="shared" si="7"/>
        <v>78446.671600000016</v>
      </c>
      <c r="K64" s="49">
        <f t="shared" si="7"/>
        <v>88298.114080000014</v>
      </c>
      <c r="L64" s="49">
        <f t="shared" si="7"/>
        <v>98432.329446000032</v>
      </c>
      <c r="M64" s="49">
        <f t="shared" si="7"/>
        <v>108669.29170838403</v>
      </c>
      <c r="N64" s="49">
        <f t="shared" si="7"/>
        <v>116276.14212797092</v>
      </c>
      <c r="O64" s="118">
        <f>I64*O$6</f>
        <v>20200.432560000001</v>
      </c>
      <c r="P64" s="8">
        <f>I64*P$6</f>
        <v>49456.231440000003</v>
      </c>
    </row>
    <row r="65" spans="1:16" outlineLevel="1">
      <c r="A65" s="27" t="s">
        <v>32</v>
      </c>
      <c r="B65" s="27"/>
      <c r="C65" s="28"/>
      <c r="D65" s="50">
        <f>D63-D64</f>
        <v>62984</v>
      </c>
      <c r="E65" s="50">
        <f t="shared" ref="E65:M65" si="8">E63-E64</f>
        <v>70082</v>
      </c>
      <c r="F65" s="50">
        <f t="shared" si="8"/>
        <v>82222</v>
      </c>
      <c r="G65" s="50">
        <f t="shared" si="8"/>
        <v>89687</v>
      </c>
      <c r="H65" s="50">
        <f t="shared" si="8"/>
        <v>94062</v>
      </c>
      <c r="I65" s="50">
        <f t="shared" si="8"/>
        <v>96192.536000000007</v>
      </c>
      <c r="J65" s="50">
        <f t="shared" si="8"/>
        <v>103987.44840000001</v>
      </c>
      <c r="K65" s="50">
        <f t="shared" si="8"/>
        <v>112379.41792000002</v>
      </c>
      <c r="L65" s="50">
        <f t="shared" si="8"/>
        <v>120306.18043400002</v>
      </c>
      <c r="M65" s="50">
        <f t="shared" si="8"/>
        <v>127568.29896201604</v>
      </c>
      <c r="N65" s="50">
        <f>N63-N64</f>
        <v>136498.07988935715</v>
      </c>
      <c r="O65" s="50">
        <f t="shared" ref="O65:P65" si="9">O63-O64</f>
        <v>27895.835440000003</v>
      </c>
      <c r="P65" s="50">
        <f t="shared" si="9"/>
        <v>68296.700559999997</v>
      </c>
    </row>
    <row r="66" spans="1:16" outlineLevel="1">
      <c r="A66" s="41" t="s">
        <v>33</v>
      </c>
      <c r="B66" s="41"/>
      <c r="C66" s="42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</row>
    <row r="67" spans="1:16" outlineLevel="1">
      <c r="A67" s="32" t="s">
        <v>185</v>
      </c>
      <c r="D67" s="52">
        <v>26427</v>
      </c>
      <c r="E67" s="52">
        <v>22658</v>
      </c>
      <c r="F67" s="52">
        <v>23872</v>
      </c>
      <c r="G67" s="52">
        <v>23002</v>
      </c>
      <c r="H67" s="52">
        <v>25245</v>
      </c>
      <c r="I67" s="53">
        <f t="shared" ref="I67:N67" si="10">I63*I47</f>
        <v>28194.364000000005</v>
      </c>
      <c r="J67" s="53">
        <f t="shared" si="10"/>
        <v>31013.800400000007</v>
      </c>
      <c r="K67" s="53">
        <f t="shared" si="10"/>
        <v>34115.180440000011</v>
      </c>
      <c r="L67" s="53">
        <f t="shared" si="10"/>
        <v>37185.546679600011</v>
      </c>
      <c r="M67" s="53">
        <f t="shared" si="10"/>
        <v>40160.390413968016</v>
      </c>
      <c r="N67" s="53">
        <f t="shared" si="10"/>
        <v>42971.617742945775</v>
      </c>
      <c r="O67" s="8">
        <f t="shared" ref="O67:O70" si="11">I67*O$6</f>
        <v>8176.3655600000011</v>
      </c>
      <c r="P67" s="8">
        <f t="shared" ref="P67:P70" si="12">I67*P$6</f>
        <v>20017.998440000003</v>
      </c>
    </row>
    <row r="68" spans="1:16" outlineLevel="1">
      <c r="A68" s="8" t="s">
        <v>182</v>
      </c>
      <c r="D68" s="52">
        <v>10963</v>
      </c>
      <c r="E68" s="52">
        <v>10125</v>
      </c>
      <c r="F68" s="52">
        <v>10087</v>
      </c>
      <c r="G68" s="52">
        <v>11020</v>
      </c>
      <c r="H68" s="52">
        <v>11412</v>
      </c>
      <c r="I68" s="53">
        <f t="shared" ref="I68:N68" si="13">I48</f>
        <v>15000</v>
      </c>
      <c r="J68" s="53">
        <f t="shared" si="13"/>
        <v>15000</v>
      </c>
      <c r="K68" s="53">
        <f t="shared" si="13"/>
        <v>15000</v>
      </c>
      <c r="L68" s="53">
        <f t="shared" si="13"/>
        <v>15000</v>
      </c>
      <c r="M68" s="53">
        <f t="shared" si="13"/>
        <v>15000</v>
      </c>
      <c r="N68" s="53">
        <f t="shared" si="13"/>
        <v>15000</v>
      </c>
      <c r="O68" s="8">
        <f t="shared" si="11"/>
        <v>4350</v>
      </c>
      <c r="P68" s="8">
        <f t="shared" si="12"/>
        <v>10650</v>
      </c>
    </row>
    <row r="69" spans="1:16" outlineLevel="1">
      <c r="A69" s="8" t="s">
        <v>34</v>
      </c>
      <c r="D69" s="52">
        <v>19500</v>
      </c>
      <c r="E69" s="52">
        <v>18150</v>
      </c>
      <c r="F69" s="52">
        <v>17205</v>
      </c>
      <c r="G69" s="52">
        <v>16543.5</v>
      </c>
      <c r="H69" s="52">
        <v>16080.449999999999</v>
      </c>
      <c r="I69" s="53">
        <f t="shared" ref="I69:N69" si="14">+I141</f>
        <v>7504.2100000000009</v>
      </c>
      <c r="J69" s="53">
        <f t="shared" si="14"/>
        <v>9003.3680000000004</v>
      </c>
      <c r="K69" s="53">
        <f t="shared" si="14"/>
        <v>10202.6944</v>
      </c>
      <c r="L69" s="53">
        <f t="shared" si="14"/>
        <v>11162.155520000002</v>
      </c>
      <c r="M69" s="53">
        <f t="shared" si="14"/>
        <v>11929.724416000001</v>
      </c>
      <c r="N69" s="53">
        <f t="shared" si="14"/>
        <v>12543.779532800001</v>
      </c>
      <c r="O69" s="8">
        <f t="shared" si="11"/>
        <v>2176.2209000000003</v>
      </c>
      <c r="P69" s="8">
        <f t="shared" si="12"/>
        <v>5327.9891000000007</v>
      </c>
    </row>
    <row r="70" spans="1:16" outlineLevel="1">
      <c r="A70" s="54" t="s">
        <v>35</v>
      </c>
      <c r="B70" s="54"/>
      <c r="C70" s="55"/>
      <c r="D70" s="56">
        <v>2500</v>
      </c>
      <c r="E70" s="56">
        <v>2500</v>
      </c>
      <c r="F70" s="56">
        <v>1500</v>
      </c>
      <c r="G70" s="56">
        <v>1500</v>
      </c>
      <c r="H70" s="56">
        <v>1500</v>
      </c>
      <c r="I70" s="57">
        <f t="shared" ref="I70:N70" si="15">I148</f>
        <v>3000</v>
      </c>
      <c r="J70" s="57">
        <f t="shared" si="15"/>
        <v>3000</v>
      </c>
      <c r="K70" s="57">
        <f t="shared" si="15"/>
        <v>1000</v>
      </c>
      <c r="L70" s="57">
        <f t="shared" si="15"/>
        <v>1000</v>
      </c>
      <c r="M70" s="57">
        <f t="shared" si="15"/>
        <v>1000</v>
      </c>
      <c r="N70" s="57">
        <f t="shared" si="15"/>
        <v>1000</v>
      </c>
      <c r="O70" s="8">
        <f t="shared" si="11"/>
        <v>869.99999999999989</v>
      </c>
      <c r="P70" s="8">
        <f t="shared" si="12"/>
        <v>2130</v>
      </c>
    </row>
    <row r="71" spans="1:16" outlineLevel="1">
      <c r="A71" s="41" t="s">
        <v>36</v>
      </c>
      <c r="B71" s="32"/>
      <c r="C71" s="33"/>
      <c r="D71" s="44">
        <f t="shared" ref="D71:P71" si="16">SUM(D67:D70)</f>
        <v>59390</v>
      </c>
      <c r="E71" s="44">
        <f t="shared" si="16"/>
        <v>53433</v>
      </c>
      <c r="F71" s="44">
        <f t="shared" si="16"/>
        <v>52664</v>
      </c>
      <c r="G71" s="44">
        <f t="shared" si="16"/>
        <v>52065.5</v>
      </c>
      <c r="H71" s="44">
        <f t="shared" si="16"/>
        <v>54237.45</v>
      </c>
      <c r="I71" s="44">
        <f t="shared" si="16"/>
        <v>53698.574000000001</v>
      </c>
      <c r="J71" s="44">
        <f t="shared" si="16"/>
        <v>58017.16840000001</v>
      </c>
      <c r="K71" s="44">
        <f t="shared" si="16"/>
        <v>60317.874840000011</v>
      </c>
      <c r="L71" s="44">
        <f t="shared" si="16"/>
        <v>64347.702199600011</v>
      </c>
      <c r="M71" s="44">
        <f t="shared" si="16"/>
        <v>68090.114829968021</v>
      </c>
      <c r="N71" s="44">
        <f t="shared" si="16"/>
        <v>71515.397275745781</v>
      </c>
      <c r="O71" s="66">
        <f t="shared" si="16"/>
        <v>15572.586460000002</v>
      </c>
      <c r="P71" s="66">
        <f t="shared" si="16"/>
        <v>38125.987540000002</v>
      </c>
    </row>
    <row r="72" spans="1:16" outlineLevel="1">
      <c r="A72" s="27" t="s">
        <v>37</v>
      </c>
      <c r="B72" s="27"/>
      <c r="C72" s="28"/>
      <c r="D72" s="50">
        <f t="shared" ref="D72:N72" si="17">D65-D71</f>
        <v>3594</v>
      </c>
      <c r="E72" s="50">
        <f t="shared" si="17"/>
        <v>16649</v>
      </c>
      <c r="F72" s="50">
        <f t="shared" si="17"/>
        <v>29558</v>
      </c>
      <c r="G72" s="50">
        <f t="shared" si="17"/>
        <v>37621.5</v>
      </c>
      <c r="H72" s="50">
        <f t="shared" si="17"/>
        <v>39824.550000000003</v>
      </c>
      <c r="I72" s="50">
        <f t="shared" si="17"/>
        <v>42493.962000000007</v>
      </c>
      <c r="J72" s="50">
        <f t="shared" si="17"/>
        <v>45970.28</v>
      </c>
      <c r="K72" s="50">
        <f t="shared" si="17"/>
        <v>52061.54308000001</v>
      </c>
      <c r="L72" s="50">
        <f t="shared" si="17"/>
        <v>55958.478234400012</v>
      </c>
      <c r="M72" s="50">
        <f t="shared" si="17"/>
        <v>59478.184132048016</v>
      </c>
      <c r="N72" s="50">
        <f t="shared" si="17"/>
        <v>64982.682613611367</v>
      </c>
      <c r="O72" s="50">
        <f t="shared" ref="O72:P72" si="18">O65-O71</f>
        <v>12323.24898</v>
      </c>
      <c r="P72" s="50">
        <f t="shared" si="18"/>
        <v>30170.713019999996</v>
      </c>
    </row>
    <row r="73" spans="1:16" outlineLevel="1">
      <c r="A73" s="41"/>
      <c r="B73" s="41"/>
      <c r="C73" s="42"/>
      <c r="D73" s="43"/>
      <c r="E73" s="43"/>
      <c r="F73" s="43"/>
      <c r="G73" s="43"/>
      <c r="H73" s="43"/>
      <c r="I73" s="44"/>
      <c r="J73" s="44"/>
      <c r="K73" s="44"/>
      <c r="L73" s="44"/>
      <c r="M73" s="44"/>
      <c r="N73" s="44"/>
    </row>
    <row r="74" spans="1:16" outlineLevel="1">
      <c r="A74" s="32" t="s">
        <v>38</v>
      </c>
      <c r="B74" s="32"/>
      <c r="C74" s="33"/>
      <c r="D74" s="52">
        <v>1120.1708000000001</v>
      </c>
      <c r="E74" s="52">
        <v>4858.2165021220308</v>
      </c>
      <c r="F74" s="52">
        <v>8482.8061148686775</v>
      </c>
      <c r="G74" s="52">
        <v>10908.02097640469</v>
      </c>
      <c r="H74" s="52">
        <v>11597.665241419718</v>
      </c>
      <c r="I74" s="58">
        <f>IF(I72&gt;0,I72*I51,0)</f>
        <v>11898.309360000003</v>
      </c>
      <c r="J74" s="58">
        <f t="shared" ref="J74:N74" si="19">IF(J72&gt;0,J72*J51,0)</f>
        <v>12871.678400000001</v>
      </c>
      <c r="K74" s="58">
        <f t="shared" si="19"/>
        <v>14577.232062400004</v>
      </c>
      <c r="L74" s="58">
        <f t="shared" si="19"/>
        <v>15668.373905632005</v>
      </c>
      <c r="M74" s="58">
        <f t="shared" si="19"/>
        <v>16653.891556973445</v>
      </c>
      <c r="N74" s="58">
        <f t="shared" si="19"/>
        <v>18195.151131811184</v>
      </c>
      <c r="O74" s="58">
        <f>I74*O$6</f>
        <v>3450.5097144000006</v>
      </c>
      <c r="P74" s="58">
        <f>I74*P$6</f>
        <v>8447.7996456000019</v>
      </c>
    </row>
    <row r="75" spans="1:16" ht="17" outlineLevel="1" thickBot="1">
      <c r="A75" s="59" t="s">
        <v>39</v>
      </c>
      <c r="B75" s="59"/>
      <c r="C75" s="60"/>
      <c r="D75" s="61">
        <f>D72-D74</f>
        <v>2473.8292000000001</v>
      </c>
      <c r="E75" s="61">
        <f t="shared" ref="E75:M75" si="20">E72-E74</f>
        <v>11790.783497877968</v>
      </c>
      <c r="F75" s="61">
        <f t="shared" si="20"/>
        <v>21075.193885131324</v>
      </c>
      <c r="G75" s="61">
        <f t="shared" si="20"/>
        <v>26713.479023595311</v>
      </c>
      <c r="H75" s="61">
        <f t="shared" si="20"/>
        <v>28226.884758580287</v>
      </c>
      <c r="I75" s="61">
        <f t="shared" si="20"/>
        <v>30595.652640000004</v>
      </c>
      <c r="J75" s="61">
        <f t="shared" si="20"/>
        <v>33098.601599999995</v>
      </c>
      <c r="K75" s="61">
        <f t="shared" si="20"/>
        <v>37484.311017600005</v>
      </c>
      <c r="L75" s="61">
        <f t="shared" si="20"/>
        <v>40290.104328768008</v>
      </c>
      <c r="M75" s="61">
        <f t="shared" si="20"/>
        <v>42824.292575074571</v>
      </c>
      <c r="N75" s="61">
        <f>N72-N74</f>
        <v>46787.531481800179</v>
      </c>
      <c r="O75" s="61">
        <f t="shared" ref="O75:P75" si="21">O72-O74</f>
        <v>8872.7392655999993</v>
      </c>
      <c r="P75" s="61">
        <f t="shared" si="21"/>
        <v>21722.913374399992</v>
      </c>
    </row>
    <row r="76" spans="1:16" ht="17" outlineLevel="1" collapsed="1" thickTop="1">
      <c r="D76" s="52"/>
      <c r="E76" s="52"/>
      <c r="F76" s="52"/>
      <c r="G76" s="52"/>
      <c r="H76" s="52"/>
    </row>
    <row r="77" spans="1:16">
      <c r="D77" s="52"/>
      <c r="E77" s="52"/>
      <c r="F77" s="52"/>
      <c r="G77" s="52"/>
      <c r="H77" s="52"/>
    </row>
    <row r="78" spans="1:16" ht="20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idden="1" outlineLevel="1">
      <c r="D79" s="52"/>
      <c r="E79" s="52"/>
      <c r="F79" s="52"/>
      <c r="G79" s="52"/>
      <c r="H79" s="52"/>
    </row>
    <row r="80" spans="1:16" hidden="1" outlineLevel="1">
      <c r="A80" s="21" t="s">
        <v>41</v>
      </c>
      <c r="D80" s="52"/>
      <c r="E80" s="52"/>
      <c r="F80" s="52"/>
      <c r="G80" s="52"/>
      <c r="H80" s="52"/>
    </row>
    <row r="81" spans="1:16" hidden="1" outlineLevel="1">
      <c r="A81" s="8" t="s">
        <v>42</v>
      </c>
      <c r="C81" s="62"/>
      <c r="D81" s="75">
        <f t="shared" ref="D81:N81" si="22">D125</f>
        <v>67971.179199999999</v>
      </c>
      <c r="E81" s="75">
        <f t="shared" si="22"/>
        <v>81209.912697877982</v>
      </c>
      <c r="F81" s="75">
        <f t="shared" si="22"/>
        <v>83715.256583009294</v>
      </c>
      <c r="G81" s="75">
        <f t="shared" si="22"/>
        <v>111069.33560660461</v>
      </c>
      <c r="H81" s="75">
        <f t="shared" si="22"/>
        <v>139549.5203651849</v>
      </c>
      <c r="I81" s="8">
        <f t="shared" si="22"/>
        <v>159473.99080792462</v>
      </c>
      <c r="J81" s="8">
        <f t="shared" si="22"/>
        <v>182573.31492080132</v>
      </c>
      <c r="K81" s="8">
        <f t="shared" si="22"/>
        <v>190511.03538431914</v>
      </c>
      <c r="L81" s="8">
        <f t="shared" si="22"/>
        <v>224399.31641543814</v>
      </c>
      <c r="M81" s="8">
        <f t="shared" si="22"/>
        <v>261247.54442510585</v>
      </c>
      <c r="N81" s="8">
        <f t="shared" si="22"/>
        <v>303250.38710907951</v>
      </c>
      <c r="O81" s="8">
        <f t="shared" ref="O81" si="23">O125</f>
        <v>142940.44792049919</v>
      </c>
      <c r="P81" s="8">
        <f>I81</f>
        <v>159473.99080792462</v>
      </c>
    </row>
    <row r="82" spans="1:16" hidden="1" outlineLevel="1">
      <c r="A82" s="8" t="s">
        <v>43</v>
      </c>
      <c r="C82" s="62"/>
      <c r="D82" s="52">
        <v>5100.3500000000004</v>
      </c>
      <c r="E82" s="52">
        <v>5904.3</v>
      </c>
      <c r="F82" s="52">
        <v>6567.25</v>
      </c>
      <c r="G82" s="52">
        <v>7117.05</v>
      </c>
      <c r="H82" s="52">
        <v>7538.6</v>
      </c>
      <c r="I82" s="63">
        <f t="shared" ref="I82:M82" si="24">I63*I52/I5</f>
        <v>8178.8646575342473</v>
      </c>
      <c r="J82" s="63">
        <f t="shared" si="24"/>
        <v>8996.7511232876732</v>
      </c>
      <c r="K82" s="63">
        <f t="shared" si="24"/>
        <v>9896.42623561644</v>
      </c>
      <c r="L82" s="63">
        <f t="shared" si="24"/>
        <v>10757.631633442625</v>
      </c>
      <c r="M82" s="63">
        <f t="shared" si="24"/>
        <v>11650.072964567677</v>
      </c>
      <c r="N82" s="63">
        <f>N63*N52/N5</f>
        <v>12465.578072087414</v>
      </c>
      <c r="O82" s="63">
        <f>O63*O52/O5</f>
        <v>8245.074514285714</v>
      </c>
      <c r="P82" s="8">
        <f t="shared" ref="P82:P83" si="25">I82</f>
        <v>8178.8646575342473</v>
      </c>
    </row>
    <row r="83" spans="1:16" hidden="1" outlineLevel="1">
      <c r="A83" s="8" t="s">
        <v>44</v>
      </c>
      <c r="C83" s="62"/>
      <c r="D83" s="52">
        <v>7804.6</v>
      </c>
      <c r="E83" s="52">
        <v>9600.8000000000011</v>
      </c>
      <c r="F83" s="52">
        <v>9824.6</v>
      </c>
      <c r="G83" s="52">
        <v>10530.800000000001</v>
      </c>
      <c r="H83" s="52">
        <v>11342</v>
      </c>
      <c r="I83" s="94">
        <f t="shared" ref="I83:N83" si="26">I64*I53/I5</f>
        <v>15267.21402739726</v>
      </c>
      <c r="J83" s="94">
        <f t="shared" si="26"/>
        <v>19343.014915068496</v>
      </c>
      <c r="K83" s="94">
        <f t="shared" si="26"/>
        <v>24191.264131506854</v>
      </c>
      <c r="L83" s="94">
        <f t="shared" si="26"/>
        <v>26894.079083606564</v>
      </c>
      <c r="M83" s="94">
        <f t="shared" si="26"/>
        <v>29772.408687228501</v>
      </c>
      <c r="N83" s="94">
        <f t="shared" si="26"/>
        <v>31856.477295334498</v>
      </c>
      <c r="O83" s="94">
        <f t="shared" ref="O83" si="27">O64*O53/O5</f>
        <v>15390.805760000001</v>
      </c>
      <c r="P83" s="8">
        <f t="shared" si="25"/>
        <v>15267.21402739726</v>
      </c>
    </row>
    <row r="84" spans="1:16" hidden="1" outlineLevel="1">
      <c r="A84" s="117" t="s">
        <v>152</v>
      </c>
      <c r="B84" s="26"/>
      <c r="C84" s="116"/>
      <c r="D84" s="50">
        <f t="shared" ref="D84:P84" si="28">SUM(D81:D83)</f>
        <v>80876.12920000001</v>
      </c>
      <c r="E84" s="50">
        <f t="shared" si="28"/>
        <v>96715.012697877988</v>
      </c>
      <c r="F84" s="50">
        <f t="shared" si="28"/>
        <v>100107.1065830093</v>
      </c>
      <c r="G84" s="50">
        <f t="shared" si="28"/>
        <v>128717.18560660462</v>
      </c>
      <c r="H84" s="50">
        <f t="shared" si="28"/>
        <v>158430.12036518491</v>
      </c>
      <c r="I84" s="50">
        <f t="shared" si="28"/>
        <v>182920.06949285613</v>
      </c>
      <c r="J84" s="50">
        <f t="shared" si="28"/>
        <v>210913.08095915749</v>
      </c>
      <c r="K84" s="50">
        <f t="shared" si="28"/>
        <v>224598.72575144243</v>
      </c>
      <c r="L84" s="50">
        <f t="shared" si="28"/>
        <v>262051.02713248733</v>
      </c>
      <c r="M84" s="50">
        <f t="shared" si="28"/>
        <v>302670.02607690205</v>
      </c>
      <c r="N84" s="50">
        <f t="shared" si="28"/>
        <v>347572.44247650146</v>
      </c>
      <c r="O84" s="50">
        <f t="shared" ref="O84" si="29">SUM(O81:O83)</f>
        <v>166576.3281947849</v>
      </c>
      <c r="P84" s="50">
        <f t="shared" si="28"/>
        <v>182920.06949285613</v>
      </c>
    </row>
    <row r="85" spans="1:16" hidden="1" outlineLevel="1">
      <c r="A85" s="8" t="s">
        <v>45</v>
      </c>
      <c r="D85" s="52">
        <v>45500</v>
      </c>
      <c r="E85" s="52">
        <v>42350</v>
      </c>
      <c r="F85" s="52">
        <v>40145</v>
      </c>
      <c r="G85" s="52">
        <v>38601.5</v>
      </c>
      <c r="H85" s="52">
        <v>37521.050000000003</v>
      </c>
      <c r="I85" s="8">
        <f t="shared" ref="I85:N85" si="30">I142</f>
        <v>45016.840000000004</v>
      </c>
      <c r="J85" s="8">
        <f t="shared" si="30"/>
        <v>51013.472000000002</v>
      </c>
      <c r="K85" s="8">
        <f t="shared" si="30"/>
        <v>55810.777600000009</v>
      </c>
      <c r="L85" s="8">
        <f t="shared" si="30"/>
        <v>59648.622080000001</v>
      </c>
      <c r="M85" s="8">
        <f t="shared" si="30"/>
        <v>62718.897664000004</v>
      </c>
      <c r="N85" s="8">
        <f t="shared" si="30"/>
        <v>65175.118131200004</v>
      </c>
      <c r="O85" s="8">
        <f t="shared" ref="O85" si="31">O142</f>
        <v>39694.829100000003</v>
      </c>
      <c r="P85" s="8">
        <f>I85</f>
        <v>45016.840000000004</v>
      </c>
    </row>
    <row r="86" spans="1:16" hidden="1" outlineLevel="1">
      <c r="A86" s="8" t="s">
        <v>175</v>
      </c>
      <c r="D86" s="52"/>
      <c r="E86" s="52"/>
      <c r="F86" s="52"/>
      <c r="G86" s="52"/>
      <c r="H86" s="52"/>
      <c r="P86" s="8">
        <f>I86</f>
        <v>0</v>
      </c>
    </row>
    <row r="87" spans="1:16" ht="17" hidden="1" outlineLevel="1" thickBot="1">
      <c r="A87" s="59" t="s">
        <v>46</v>
      </c>
      <c r="B87" s="59"/>
      <c r="C87" s="60"/>
      <c r="D87" s="61">
        <f>SUM(D84:D86)</f>
        <v>126376.12920000001</v>
      </c>
      <c r="E87" s="61">
        <f t="shared" ref="E87:M87" si="32">SUM(E84:E86)</f>
        <v>139065.012697878</v>
      </c>
      <c r="F87" s="61">
        <f t="shared" si="32"/>
        <v>140252.1065830093</v>
      </c>
      <c r="G87" s="61">
        <f t="shared" si="32"/>
        <v>167318.68560660462</v>
      </c>
      <c r="H87" s="61">
        <f t="shared" si="32"/>
        <v>195951.17036518489</v>
      </c>
      <c r="I87" s="61">
        <f t="shared" si="32"/>
        <v>227936.90949285612</v>
      </c>
      <c r="J87" s="61">
        <f t="shared" si="32"/>
        <v>261926.5529591575</v>
      </c>
      <c r="K87" s="61">
        <f t="shared" si="32"/>
        <v>280409.50335144246</v>
      </c>
      <c r="L87" s="61">
        <f t="shared" si="32"/>
        <v>321699.64921248733</v>
      </c>
      <c r="M87" s="61">
        <f t="shared" si="32"/>
        <v>365388.92374090204</v>
      </c>
      <c r="N87" s="61">
        <f>SUM(N84:N86)</f>
        <v>412747.56060770148</v>
      </c>
      <c r="O87" s="61">
        <f>SUM(O84:O86)</f>
        <v>206271.15729478491</v>
      </c>
      <c r="P87" s="61">
        <f t="shared" ref="P87" si="33">SUM(P84:P86)</f>
        <v>227936.90949285612</v>
      </c>
    </row>
    <row r="88" spans="1:16" ht="17" hidden="1" outlineLevel="1" thickTop="1">
      <c r="A88" s="41"/>
      <c r="B88" s="41"/>
      <c r="C88" s="42"/>
      <c r="D88" s="43"/>
      <c r="E88" s="43"/>
      <c r="F88" s="43"/>
      <c r="G88" s="43"/>
      <c r="H88" s="43"/>
      <c r="I88" s="41"/>
      <c r="J88" s="41"/>
      <c r="K88" s="41"/>
      <c r="L88" s="41"/>
      <c r="M88" s="41"/>
      <c r="N88" s="41"/>
      <c r="O88" s="41"/>
      <c r="P88" s="41"/>
    </row>
    <row r="89" spans="1:16" hidden="1" outlineLevel="1">
      <c r="A89" s="21" t="s">
        <v>47</v>
      </c>
      <c r="C89" s="62"/>
      <c r="D89" s="52"/>
      <c r="E89" s="52"/>
      <c r="F89" s="52"/>
      <c r="G89" s="52"/>
      <c r="H89" s="52"/>
    </row>
    <row r="90" spans="1:16" hidden="1" outlineLevel="1">
      <c r="A90" s="118" t="s">
        <v>153</v>
      </c>
      <c r="C90" s="62"/>
      <c r="D90" s="52"/>
      <c r="E90" s="52"/>
      <c r="F90" s="52"/>
      <c r="G90" s="52"/>
      <c r="H90" s="52"/>
      <c r="P90" s="8">
        <f t="shared" ref="P90:P91" si="34">I90</f>
        <v>0</v>
      </c>
    </row>
    <row r="91" spans="1:16" hidden="1" outlineLevel="1">
      <c r="A91" s="8" t="s">
        <v>48</v>
      </c>
      <c r="C91" s="62"/>
      <c r="D91" s="52">
        <v>3902.3</v>
      </c>
      <c r="E91" s="52">
        <v>4800.4000000000005</v>
      </c>
      <c r="F91" s="52">
        <v>4912.3</v>
      </c>
      <c r="G91" s="52">
        <v>5265.4000000000005</v>
      </c>
      <c r="H91" s="52">
        <v>5671</v>
      </c>
      <c r="I91" s="94">
        <f t="shared" ref="I91:N91" si="35">I64*I54/I5</f>
        <v>7061.086487671233</v>
      </c>
      <c r="J91" s="94">
        <f t="shared" si="35"/>
        <v>7952.1283539726046</v>
      </c>
      <c r="K91" s="94">
        <f t="shared" si="35"/>
        <v>8950.7677286575363</v>
      </c>
      <c r="L91" s="94">
        <f t="shared" si="35"/>
        <v>9950.8092609344294</v>
      </c>
      <c r="M91" s="94">
        <f t="shared" si="35"/>
        <v>11015.791214274544</v>
      </c>
      <c r="N91" s="94">
        <f t="shared" si="35"/>
        <v>11786.896599273763</v>
      </c>
      <c r="O91" s="94">
        <f t="shared" ref="O91" si="36">O64*O54/O5</f>
        <v>7118.2476640000004</v>
      </c>
      <c r="P91" s="8">
        <f t="shared" si="34"/>
        <v>7061.086487671233</v>
      </c>
    </row>
    <row r="92" spans="1:16" s="21" customFormat="1" hidden="1" outlineLevel="1">
      <c r="A92" s="117" t="s">
        <v>155</v>
      </c>
      <c r="B92" s="27"/>
      <c r="C92" s="294"/>
      <c r="D92" s="50">
        <f t="shared" ref="D92:N92" si="37">SUM(D90:D91)</f>
        <v>3902.3</v>
      </c>
      <c r="E92" s="50">
        <f t="shared" si="37"/>
        <v>4800.4000000000005</v>
      </c>
      <c r="F92" s="50">
        <f t="shared" si="37"/>
        <v>4912.3</v>
      </c>
      <c r="G92" s="50">
        <f t="shared" si="37"/>
        <v>5265.4000000000005</v>
      </c>
      <c r="H92" s="50">
        <f t="shared" si="37"/>
        <v>5671</v>
      </c>
      <c r="I92" s="50">
        <f t="shared" si="37"/>
        <v>7061.086487671233</v>
      </c>
      <c r="J92" s="50">
        <f t="shared" si="37"/>
        <v>7952.1283539726046</v>
      </c>
      <c r="K92" s="50">
        <f t="shared" si="37"/>
        <v>8950.7677286575363</v>
      </c>
      <c r="L92" s="50">
        <f t="shared" si="37"/>
        <v>9950.8092609344294</v>
      </c>
      <c r="M92" s="50">
        <f t="shared" si="37"/>
        <v>11015.791214274544</v>
      </c>
      <c r="N92" s="50">
        <f t="shared" si="37"/>
        <v>11786.896599273763</v>
      </c>
      <c r="O92" s="50">
        <f t="shared" ref="O92:P92" si="38">SUM(O90:O91)</f>
        <v>7118.2476640000004</v>
      </c>
      <c r="P92" s="50">
        <f t="shared" si="38"/>
        <v>7061.086487671233</v>
      </c>
    </row>
    <row r="93" spans="1:16" hidden="1" outlineLevel="1">
      <c r="A93" s="8" t="s">
        <v>154</v>
      </c>
      <c r="D93" s="52">
        <v>50000</v>
      </c>
      <c r="E93" s="52">
        <v>50000</v>
      </c>
      <c r="F93" s="52">
        <v>30000</v>
      </c>
      <c r="G93" s="52">
        <v>30000</v>
      </c>
      <c r="H93" s="52">
        <v>30000</v>
      </c>
      <c r="I93" s="8">
        <f t="shared" ref="I93:N93" si="39">I147</f>
        <v>30000</v>
      </c>
      <c r="J93" s="8">
        <f t="shared" si="39"/>
        <v>30000</v>
      </c>
      <c r="K93" s="8">
        <f t="shared" si="39"/>
        <v>10000</v>
      </c>
      <c r="L93" s="8">
        <f t="shared" si="39"/>
        <v>10000</v>
      </c>
      <c r="M93" s="8">
        <f t="shared" si="39"/>
        <v>10000</v>
      </c>
      <c r="N93" s="8">
        <f t="shared" si="39"/>
        <v>10000</v>
      </c>
      <c r="O93" s="8">
        <f t="shared" ref="O93" si="40">O147</f>
        <v>30000</v>
      </c>
      <c r="P93" s="8">
        <f>I93</f>
        <v>30000</v>
      </c>
    </row>
    <row r="94" spans="1:16" hidden="1" outlineLevel="1">
      <c r="A94" s="27" t="s">
        <v>49</v>
      </c>
      <c r="B94" s="27"/>
      <c r="C94" s="28"/>
      <c r="D94" s="50">
        <f t="shared" ref="D94:P94" si="41">SUM(D92:D93)</f>
        <v>53902.3</v>
      </c>
      <c r="E94" s="50">
        <f t="shared" si="41"/>
        <v>54800.4</v>
      </c>
      <c r="F94" s="50">
        <f t="shared" si="41"/>
        <v>34912.300000000003</v>
      </c>
      <c r="G94" s="50">
        <f t="shared" si="41"/>
        <v>35265.4</v>
      </c>
      <c r="H94" s="50">
        <f t="shared" si="41"/>
        <v>35671</v>
      </c>
      <c r="I94" s="50">
        <f t="shared" si="41"/>
        <v>37061.086487671229</v>
      </c>
      <c r="J94" s="50">
        <f t="shared" si="41"/>
        <v>37952.128353972606</v>
      </c>
      <c r="K94" s="50">
        <f t="shared" si="41"/>
        <v>18950.767728657534</v>
      </c>
      <c r="L94" s="50">
        <f t="shared" si="41"/>
        <v>19950.809260934431</v>
      </c>
      <c r="M94" s="50">
        <f t="shared" si="41"/>
        <v>21015.791214274544</v>
      </c>
      <c r="N94" s="50">
        <f t="shared" si="41"/>
        <v>21786.896599273765</v>
      </c>
      <c r="O94" s="50">
        <f t="shared" ref="O94" si="42">SUM(O92:O93)</f>
        <v>37118.247664000002</v>
      </c>
      <c r="P94" s="50">
        <f t="shared" si="41"/>
        <v>37061.086487671229</v>
      </c>
    </row>
    <row r="95" spans="1:16" hidden="1" outlineLevel="1">
      <c r="A95" s="21" t="s">
        <v>50</v>
      </c>
      <c r="D95" s="52"/>
      <c r="E95" s="52"/>
      <c r="F95" s="52"/>
      <c r="G95" s="52"/>
      <c r="H95" s="52"/>
    </row>
    <row r="96" spans="1:16" hidden="1" outlineLevel="1">
      <c r="A96" s="8" t="s">
        <v>51</v>
      </c>
      <c r="D96" s="52">
        <v>70000</v>
      </c>
      <c r="E96" s="52">
        <v>70000</v>
      </c>
      <c r="F96" s="52">
        <v>70000</v>
      </c>
      <c r="G96" s="52">
        <v>70000</v>
      </c>
      <c r="H96" s="52">
        <v>70000</v>
      </c>
      <c r="I96" s="8">
        <f t="shared" ref="I96:N96" si="43">H96+I57</f>
        <v>70000</v>
      </c>
      <c r="J96" s="8">
        <f t="shared" si="43"/>
        <v>70000</v>
      </c>
      <c r="K96" s="8">
        <f t="shared" si="43"/>
        <v>70000</v>
      </c>
      <c r="L96" s="8">
        <f t="shared" si="43"/>
        <v>70000</v>
      </c>
      <c r="M96" s="8">
        <f t="shared" si="43"/>
        <v>70000</v>
      </c>
      <c r="N96" s="8">
        <f t="shared" si="43"/>
        <v>70000</v>
      </c>
      <c r="O96" s="8">
        <f>H96+O57</f>
        <v>70000</v>
      </c>
      <c r="P96" s="8">
        <f>I96</f>
        <v>70000</v>
      </c>
    </row>
    <row r="97" spans="1:16" hidden="1" outlineLevel="1">
      <c r="A97" s="8" t="s">
        <v>52</v>
      </c>
      <c r="D97" s="52">
        <v>2473.8292000000001</v>
      </c>
      <c r="E97" s="52">
        <v>14264.612697877968</v>
      </c>
      <c r="F97" s="52">
        <v>35339.806583009296</v>
      </c>
      <c r="G97" s="52">
        <v>62053.285606604608</v>
      </c>
      <c r="H97" s="52">
        <v>90280.170365184895</v>
      </c>
      <c r="I97" s="8">
        <f>+H97+I75-I58</f>
        <v>120875.8230051849</v>
      </c>
      <c r="J97" s="8">
        <f t="shared" ref="J97:N97" si="44">+I97+J75-J58</f>
        <v>153974.42460518487</v>
      </c>
      <c r="K97" s="8">
        <f t="shared" si="44"/>
        <v>191458.73562278488</v>
      </c>
      <c r="L97" s="8">
        <f t="shared" si="44"/>
        <v>231748.83995155289</v>
      </c>
      <c r="M97" s="8">
        <f t="shared" si="44"/>
        <v>274373.13252662745</v>
      </c>
      <c r="N97" s="8">
        <f t="shared" si="44"/>
        <v>320960.66400842764</v>
      </c>
      <c r="O97" s="8">
        <f>+H97+O75-O58</f>
        <v>99152.909630784896</v>
      </c>
      <c r="P97" s="8">
        <f>I97</f>
        <v>120875.8230051849</v>
      </c>
    </row>
    <row r="98" spans="1:16" hidden="1" outlineLevel="1">
      <c r="A98" s="64" t="s">
        <v>50</v>
      </c>
      <c r="B98" s="64"/>
      <c r="C98" s="65"/>
      <c r="D98" s="66">
        <f t="shared" ref="D98:N98" si="45">SUM(D96:D97)</f>
        <v>72473.829200000007</v>
      </c>
      <c r="E98" s="66">
        <f t="shared" si="45"/>
        <v>84264.612697877965</v>
      </c>
      <c r="F98" s="66">
        <f t="shared" si="45"/>
        <v>105339.8065830093</v>
      </c>
      <c r="G98" s="66">
        <f t="shared" si="45"/>
        <v>132053.28560660459</v>
      </c>
      <c r="H98" s="66">
        <f t="shared" si="45"/>
        <v>160280.17036518489</v>
      </c>
      <c r="I98" s="64">
        <f t="shared" si="45"/>
        <v>190875.82300518488</v>
      </c>
      <c r="J98" s="64">
        <f t="shared" si="45"/>
        <v>223974.42460518487</v>
      </c>
      <c r="K98" s="64">
        <f t="shared" si="45"/>
        <v>261458.73562278488</v>
      </c>
      <c r="L98" s="64">
        <f t="shared" si="45"/>
        <v>301748.83995155292</v>
      </c>
      <c r="M98" s="64">
        <f t="shared" si="45"/>
        <v>344373.13252662745</v>
      </c>
      <c r="N98" s="64">
        <f t="shared" si="45"/>
        <v>390960.66400842764</v>
      </c>
      <c r="O98" s="64">
        <f t="shared" ref="O98" si="46">SUM(O96:O97)</f>
        <v>169152.90963078488</v>
      </c>
      <c r="P98" s="64">
        <f t="shared" ref="P98" si="47">SUM(P96:P97)</f>
        <v>190875.82300518488</v>
      </c>
    </row>
    <row r="99" spans="1:16" ht="17" hidden="1" outlineLevel="1" thickBot="1">
      <c r="A99" s="59" t="s">
        <v>53</v>
      </c>
      <c r="B99" s="59"/>
      <c r="C99" s="60"/>
      <c r="D99" s="61">
        <f>D94+D98</f>
        <v>126376.12920000001</v>
      </c>
      <c r="E99" s="61">
        <f>E94+E98</f>
        <v>139065.01269787797</v>
      </c>
      <c r="F99" s="61">
        <f>F94+F98</f>
        <v>140252.1065830093</v>
      </c>
      <c r="G99" s="61">
        <f>G94+G98</f>
        <v>167318.68560660459</v>
      </c>
      <c r="H99" s="61">
        <f>H94+H98</f>
        <v>195951.17036518489</v>
      </c>
      <c r="I99" s="59">
        <f t="shared" ref="I99:N99" si="48">I98+I94</f>
        <v>227936.90949285612</v>
      </c>
      <c r="J99" s="59">
        <f t="shared" si="48"/>
        <v>261926.55295915747</v>
      </c>
      <c r="K99" s="59">
        <f t="shared" si="48"/>
        <v>280409.5033514424</v>
      </c>
      <c r="L99" s="59">
        <f t="shared" si="48"/>
        <v>321699.64921248733</v>
      </c>
      <c r="M99" s="59">
        <f t="shared" si="48"/>
        <v>365388.92374090198</v>
      </c>
      <c r="N99" s="59">
        <f t="shared" si="48"/>
        <v>412747.56060770142</v>
      </c>
      <c r="O99" s="59">
        <f t="shared" ref="O99" si="49">O98+O94</f>
        <v>206271.15729478488</v>
      </c>
      <c r="P99" s="59">
        <f t="shared" ref="P99" si="50">P98+P94</f>
        <v>227936.90949285612</v>
      </c>
    </row>
    <row r="100" spans="1:16" ht="17" hidden="1" outlineLevel="1" thickTop="1">
      <c r="D100" s="52"/>
      <c r="E100" s="52"/>
      <c r="F100" s="52"/>
      <c r="G100" s="52"/>
      <c r="H100" s="52"/>
    </row>
    <row r="101" spans="1:16" hidden="1" outlineLevel="1">
      <c r="A101" s="67" t="s">
        <v>54</v>
      </c>
      <c r="B101" s="68"/>
      <c r="C101" s="69"/>
      <c r="D101" s="68">
        <f t="shared" ref="D101:M101" si="51">D99-D87</f>
        <v>0</v>
      </c>
      <c r="E101" s="68">
        <f t="shared" si="51"/>
        <v>0</v>
      </c>
      <c r="F101" s="68">
        <f t="shared" si="51"/>
        <v>0</v>
      </c>
      <c r="G101" s="68">
        <f t="shared" si="51"/>
        <v>0</v>
      </c>
      <c r="H101" s="68">
        <f t="shared" si="51"/>
        <v>0</v>
      </c>
      <c r="I101" s="68">
        <f t="shared" si="51"/>
        <v>0</v>
      </c>
      <c r="J101" s="68">
        <f t="shared" si="51"/>
        <v>0</v>
      </c>
      <c r="K101" s="68">
        <f t="shared" si="51"/>
        <v>0</v>
      </c>
      <c r="L101" s="68">
        <f t="shared" si="51"/>
        <v>0</v>
      </c>
      <c r="M101" s="68">
        <f t="shared" si="51"/>
        <v>0</v>
      </c>
      <c r="N101" s="68">
        <f>N99-N87</f>
        <v>0</v>
      </c>
      <c r="O101" s="68">
        <f>O99-O87</f>
        <v>0</v>
      </c>
      <c r="P101" s="68">
        <f>P99-P87</f>
        <v>0</v>
      </c>
    </row>
    <row r="102" spans="1:16" hidden="1" outlineLevel="1">
      <c r="A102" s="68"/>
      <c r="B102" s="68"/>
      <c r="C102" s="69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6" collapsed="1">
      <c r="D103" s="52"/>
      <c r="E103" s="52"/>
      <c r="F103" s="52"/>
      <c r="G103" s="52"/>
      <c r="H103" s="52"/>
    </row>
    <row r="104" spans="1:16" ht="20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>
      <c r="A105" s="21"/>
      <c r="D105" s="43"/>
      <c r="E105" s="52"/>
      <c r="F105" s="52"/>
      <c r="G105" s="52"/>
      <c r="H105" s="52"/>
    </row>
    <row r="106" spans="1:16" outlineLevel="1">
      <c r="A106" s="21" t="s">
        <v>56</v>
      </c>
      <c r="D106" s="52"/>
      <c r="E106" s="52"/>
      <c r="F106" s="52"/>
      <c r="G106" s="52"/>
      <c r="H106" s="52"/>
    </row>
    <row r="107" spans="1:16" outlineLevel="1">
      <c r="A107" s="8" t="s">
        <v>39</v>
      </c>
      <c r="D107" s="8">
        <f t="shared" ref="D107:N107" si="52">D75</f>
        <v>2473.8292000000001</v>
      </c>
      <c r="E107" s="8">
        <f t="shared" si="52"/>
        <v>11790.783497877968</v>
      </c>
      <c r="F107" s="8">
        <f t="shared" si="52"/>
        <v>21075.193885131324</v>
      </c>
      <c r="G107" s="8">
        <f t="shared" si="52"/>
        <v>26713.479023595311</v>
      </c>
      <c r="H107" s="8">
        <f t="shared" si="52"/>
        <v>28226.884758580287</v>
      </c>
      <c r="I107" s="8">
        <f t="shared" si="52"/>
        <v>30595.652640000004</v>
      </c>
      <c r="J107" s="8">
        <f t="shared" si="52"/>
        <v>33098.601599999995</v>
      </c>
      <c r="K107" s="8">
        <f t="shared" si="52"/>
        <v>37484.311017600005</v>
      </c>
      <c r="L107" s="8">
        <f t="shared" si="52"/>
        <v>40290.104328768008</v>
      </c>
      <c r="M107" s="8">
        <f t="shared" si="52"/>
        <v>42824.292575074571</v>
      </c>
      <c r="N107" s="8">
        <f t="shared" si="52"/>
        <v>46787.531481800179</v>
      </c>
      <c r="O107" s="8">
        <f t="shared" ref="O107:P107" si="53">O75</f>
        <v>8872.7392655999993</v>
      </c>
      <c r="P107" s="8">
        <f t="shared" si="53"/>
        <v>21722.913374399992</v>
      </c>
    </row>
    <row r="108" spans="1:16" outlineLevel="1">
      <c r="A108" s="8" t="s">
        <v>57</v>
      </c>
      <c r="D108" s="52">
        <v>19500</v>
      </c>
      <c r="E108" s="52">
        <v>18150</v>
      </c>
      <c r="F108" s="52">
        <v>17205</v>
      </c>
      <c r="G108" s="52">
        <v>16543.5</v>
      </c>
      <c r="H108" s="52">
        <v>16080.449999999999</v>
      </c>
      <c r="I108" s="8">
        <f t="shared" ref="I108:N108" si="54">I69</f>
        <v>7504.2100000000009</v>
      </c>
      <c r="J108" s="8">
        <f t="shared" si="54"/>
        <v>9003.3680000000004</v>
      </c>
      <c r="K108" s="8">
        <f t="shared" si="54"/>
        <v>10202.6944</v>
      </c>
      <c r="L108" s="8">
        <f t="shared" si="54"/>
        <v>11162.155520000002</v>
      </c>
      <c r="M108" s="8">
        <f t="shared" si="54"/>
        <v>11929.724416000001</v>
      </c>
      <c r="N108" s="8">
        <f t="shared" si="54"/>
        <v>12543.779532800001</v>
      </c>
      <c r="O108" s="8">
        <f t="shared" ref="O108:P108" si="55">O69</f>
        <v>2176.2209000000003</v>
      </c>
      <c r="P108" s="8">
        <f t="shared" si="55"/>
        <v>5327.9891000000007</v>
      </c>
    </row>
    <row r="109" spans="1:16" outlineLevel="1">
      <c r="A109" s="8" t="s">
        <v>58</v>
      </c>
      <c r="D109" s="52">
        <v>9002.6500000000015</v>
      </c>
      <c r="E109" s="52">
        <v>1702.0499999999993</v>
      </c>
      <c r="F109" s="52">
        <v>774.84999999999854</v>
      </c>
      <c r="G109" s="52">
        <v>902.90000000000146</v>
      </c>
      <c r="H109" s="52">
        <v>827.14999999999782</v>
      </c>
      <c r="I109" s="8">
        <f t="shared" ref="I109:N109" si="56">I136</f>
        <v>3175.3921972602766</v>
      </c>
      <c r="J109" s="8">
        <f t="shared" si="56"/>
        <v>4002.6454871232854</v>
      </c>
      <c r="K109" s="8">
        <f t="shared" si="56"/>
        <v>4749.284954082199</v>
      </c>
      <c r="L109" s="8">
        <f t="shared" si="56"/>
        <v>2563.9788176489965</v>
      </c>
      <c r="M109" s="8">
        <f t="shared" si="56"/>
        <v>2705.7889814068731</v>
      </c>
      <c r="N109" s="8">
        <f t="shared" si="56"/>
        <v>2128.4683306265179</v>
      </c>
      <c r="O109" s="8">
        <f t="shared" ref="O109:P109" si="57">O136</f>
        <v>3308.0326102857143</v>
      </c>
      <c r="P109" s="8">
        <f t="shared" si="57"/>
        <v>-132.64041302543774</v>
      </c>
    </row>
    <row r="110" spans="1:16" outlineLevel="1">
      <c r="A110" s="27" t="s">
        <v>59</v>
      </c>
      <c r="B110" s="26"/>
      <c r="C110" s="70"/>
      <c r="D110" s="50">
        <f t="shared" ref="D110:N110" si="58">D107+D108-D109</f>
        <v>12971.179199999999</v>
      </c>
      <c r="E110" s="50">
        <f t="shared" si="58"/>
        <v>28238.733497877969</v>
      </c>
      <c r="F110" s="50">
        <f t="shared" si="58"/>
        <v>37505.343885131326</v>
      </c>
      <c r="G110" s="50">
        <f t="shared" si="58"/>
        <v>42354.07902359531</v>
      </c>
      <c r="H110" s="50">
        <f t="shared" si="58"/>
        <v>43480.18475858029</v>
      </c>
      <c r="I110" s="50">
        <f t="shared" si="58"/>
        <v>34924.47044273973</v>
      </c>
      <c r="J110" s="50">
        <f t="shared" si="58"/>
        <v>38099.324112876711</v>
      </c>
      <c r="K110" s="50">
        <f t="shared" si="58"/>
        <v>42937.720463517806</v>
      </c>
      <c r="L110" s="50">
        <f t="shared" si="58"/>
        <v>48888.281031119011</v>
      </c>
      <c r="M110" s="50">
        <f t="shared" si="58"/>
        <v>52048.228009667699</v>
      </c>
      <c r="N110" s="50">
        <f t="shared" si="58"/>
        <v>57202.842683973664</v>
      </c>
      <c r="O110" s="50">
        <f t="shared" ref="O110:P110" si="59">O107+O108-O109</f>
        <v>7740.9275553142852</v>
      </c>
      <c r="P110" s="50">
        <f t="shared" si="59"/>
        <v>27183.542887425428</v>
      </c>
    </row>
    <row r="111" spans="1:16" outlineLevel="1">
      <c r="A111" s="41"/>
      <c r="B111" s="32"/>
      <c r="C111" s="33"/>
      <c r="D111" s="43"/>
      <c r="E111" s="43"/>
      <c r="F111" s="43"/>
      <c r="G111" s="43"/>
      <c r="H111" s="43"/>
      <c r="I111" s="41"/>
      <c r="J111" s="41"/>
      <c r="K111" s="41"/>
      <c r="L111" s="41"/>
      <c r="M111" s="41"/>
      <c r="N111" s="41"/>
      <c r="O111" s="41"/>
      <c r="P111" s="41"/>
    </row>
    <row r="112" spans="1:16" outlineLevel="1">
      <c r="A112" s="21" t="s">
        <v>60</v>
      </c>
      <c r="D112" s="48"/>
      <c r="E112" s="48"/>
      <c r="F112" s="48"/>
      <c r="G112" s="48"/>
      <c r="H112" s="48"/>
      <c r="I112" s="32"/>
      <c r="J112" s="32"/>
      <c r="K112" s="32"/>
      <c r="L112" s="32"/>
      <c r="M112" s="32"/>
      <c r="N112" s="32"/>
      <c r="O112" s="32"/>
      <c r="P112" s="32"/>
    </row>
    <row r="113" spans="1:16" outlineLevel="1">
      <c r="A113" s="8" t="s">
        <v>61</v>
      </c>
      <c r="D113" s="48">
        <v>-15000</v>
      </c>
      <c r="E113" s="48">
        <v>-15000</v>
      </c>
      <c r="F113" s="48">
        <v>-15000</v>
      </c>
      <c r="G113" s="48">
        <v>-15000</v>
      </c>
      <c r="H113" s="48">
        <v>-15000</v>
      </c>
      <c r="I113" s="32">
        <f>-I140</f>
        <v>-15000</v>
      </c>
      <c r="J113" s="32">
        <f t="shared" ref="J113:N113" si="60">-J140</f>
        <v>-15000</v>
      </c>
      <c r="K113" s="32">
        <f t="shared" si="60"/>
        <v>-15000</v>
      </c>
      <c r="L113" s="32">
        <f t="shared" si="60"/>
        <v>-15000</v>
      </c>
      <c r="M113" s="32">
        <f t="shared" si="60"/>
        <v>-15000</v>
      </c>
      <c r="N113" s="32">
        <f t="shared" si="60"/>
        <v>-15000</v>
      </c>
      <c r="O113" s="32">
        <f t="shared" ref="O113:P113" si="61">-O140</f>
        <v>-4350</v>
      </c>
      <c r="P113" s="32">
        <f t="shared" si="61"/>
        <v>-10650</v>
      </c>
    </row>
    <row r="114" spans="1:16" outlineLevel="1">
      <c r="A114" s="8" t="s">
        <v>188</v>
      </c>
      <c r="D114" s="48"/>
      <c r="E114" s="48"/>
      <c r="F114" s="48"/>
      <c r="G114" s="48"/>
      <c r="H114" s="48"/>
      <c r="I114" s="32"/>
      <c r="J114" s="32"/>
      <c r="K114" s="32"/>
      <c r="L114" s="32"/>
      <c r="M114" s="32"/>
      <c r="N114" s="32"/>
      <c r="O114" s="32"/>
      <c r="P114" s="32"/>
    </row>
    <row r="115" spans="1:16" outlineLevel="1">
      <c r="A115" s="27" t="s">
        <v>62</v>
      </c>
      <c r="B115" s="26"/>
      <c r="C115" s="70"/>
      <c r="D115" s="50">
        <f>SUM(D113:D114)</f>
        <v>-15000</v>
      </c>
      <c r="E115" s="50">
        <f t="shared" ref="E115:N115" si="62">SUM(E113:E114)</f>
        <v>-15000</v>
      </c>
      <c r="F115" s="50">
        <f t="shared" si="62"/>
        <v>-15000</v>
      </c>
      <c r="G115" s="50">
        <f t="shared" si="62"/>
        <v>-15000</v>
      </c>
      <c r="H115" s="50">
        <f t="shared" si="62"/>
        <v>-15000</v>
      </c>
      <c r="I115" s="50">
        <f t="shared" si="62"/>
        <v>-15000</v>
      </c>
      <c r="J115" s="50">
        <f t="shared" si="62"/>
        <v>-15000</v>
      </c>
      <c r="K115" s="50">
        <f t="shared" si="62"/>
        <v>-15000</v>
      </c>
      <c r="L115" s="50">
        <f t="shared" si="62"/>
        <v>-15000</v>
      </c>
      <c r="M115" s="50">
        <f t="shared" si="62"/>
        <v>-15000</v>
      </c>
      <c r="N115" s="50">
        <f t="shared" si="62"/>
        <v>-15000</v>
      </c>
      <c r="O115" s="50">
        <f t="shared" ref="O115:P115" si="63">SUM(O113:O114)</f>
        <v>-4350</v>
      </c>
      <c r="P115" s="50">
        <f t="shared" si="63"/>
        <v>-10650</v>
      </c>
    </row>
    <row r="116" spans="1:16" outlineLevel="1">
      <c r="A116" s="41"/>
      <c r="B116" s="32"/>
      <c r="C116" s="33"/>
      <c r="D116" s="43"/>
      <c r="E116" s="43"/>
      <c r="F116" s="43"/>
      <c r="G116" s="43"/>
      <c r="H116" s="43"/>
      <c r="I116" s="41"/>
      <c r="J116" s="41"/>
      <c r="K116" s="41"/>
      <c r="L116" s="41"/>
      <c r="M116" s="41"/>
      <c r="N116" s="41"/>
      <c r="O116" s="41"/>
      <c r="P116" s="41"/>
    </row>
    <row r="117" spans="1:16" outlineLevel="1">
      <c r="A117" s="21" t="s">
        <v>63</v>
      </c>
      <c r="D117" s="48"/>
      <c r="E117" s="48"/>
      <c r="F117" s="48"/>
      <c r="G117" s="48"/>
      <c r="H117" s="48"/>
      <c r="I117" s="32"/>
      <c r="J117" s="32"/>
      <c r="K117" s="32"/>
      <c r="L117" s="32"/>
      <c r="M117" s="32"/>
      <c r="N117" s="32"/>
      <c r="O117" s="32"/>
      <c r="P117" s="32"/>
    </row>
    <row r="118" spans="1:16" outlineLevel="1">
      <c r="A118" s="8" t="s">
        <v>64</v>
      </c>
      <c r="D118" s="48">
        <v>0</v>
      </c>
      <c r="E118" s="48">
        <v>0</v>
      </c>
      <c r="F118" s="48">
        <v>-20000</v>
      </c>
      <c r="G118" s="48">
        <v>0</v>
      </c>
      <c r="H118" s="48">
        <v>0</v>
      </c>
      <c r="I118" s="32">
        <f t="shared" ref="I118:N118" si="64">I146</f>
        <v>0</v>
      </c>
      <c r="J118" s="32">
        <f t="shared" si="64"/>
        <v>0</v>
      </c>
      <c r="K118" s="32">
        <f t="shared" si="64"/>
        <v>-20000</v>
      </c>
      <c r="L118" s="32">
        <f t="shared" si="64"/>
        <v>0</v>
      </c>
      <c r="M118" s="32">
        <f t="shared" si="64"/>
        <v>0</v>
      </c>
      <c r="N118" s="32">
        <f t="shared" si="64"/>
        <v>0</v>
      </c>
      <c r="O118" s="32">
        <f t="shared" ref="O118:P118" si="65">O146</f>
        <v>0</v>
      </c>
      <c r="P118" s="32">
        <f t="shared" si="65"/>
        <v>0</v>
      </c>
    </row>
    <row r="119" spans="1:16" outlineLevel="1">
      <c r="A119" s="8" t="s">
        <v>65</v>
      </c>
      <c r="D119" s="48">
        <v>70000</v>
      </c>
      <c r="E119" s="48">
        <v>0</v>
      </c>
      <c r="F119" s="48">
        <v>0</v>
      </c>
      <c r="G119" s="48">
        <v>0</v>
      </c>
      <c r="H119" s="48">
        <v>0</v>
      </c>
      <c r="I119" s="32">
        <f t="shared" ref="I119:N119" si="66">I57</f>
        <v>0</v>
      </c>
      <c r="J119" s="32">
        <f t="shared" si="66"/>
        <v>0</v>
      </c>
      <c r="K119" s="32">
        <f t="shared" si="66"/>
        <v>0</v>
      </c>
      <c r="L119" s="32">
        <f t="shared" si="66"/>
        <v>0</v>
      </c>
      <c r="M119" s="32">
        <f t="shared" si="66"/>
        <v>0</v>
      </c>
      <c r="N119" s="32">
        <f t="shared" si="66"/>
        <v>0</v>
      </c>
      <c r="O119" s="32">
        <f t="shared" ref="O119:P119" si="67">O57</f>
        <v>0</v>
      </c>
      <c r="P119" s="32">
        <f t="shared" si="67"/>
        <v>0</v>
      </c>
    </row>
    <row r="120" spans="1:16" outlineLevel="1">
      <c r="A120" s="8" t="s">
        <v>209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32">
        <f>-I58</f>
        <v>0</v>
      </c>
      <c r="J120" s="32">
        <f t="shared" ref="J120:N120" si="68">-J58</f>
        <v>0</v>
      </c>
      <c r="K120" s="32">
        <f t="shared" si="68"/>
        <v>0</v>
      </c>
      <c r="L120" s="32">
        <f t="shared" si="68"/>
        <v>0</v>
      </c>
      <c r="M120" s="32">
        <f t="shared" si="68"/>
        <v>-200</v>
      </c>
      <c r="N120" s="32">
        <f t="shared" si="68"/>
        <v>-200</v>
      </c>
      <c r="O120" s="32">
        <f t="shared" ref="O120:P120" si="69">-O58</f>
        <v>0</v>
      </c>
      <c r="P120" s="32">
        <f t="shared" si="69"/>
        <v>0</v>
      </c>
    </row>
    <row r="121" spans="1:16" outlineLevel="1">
      <c r="A121" s="27" t="s">
        <v>66</v>
      </c>
      <c r="B121" s="26"/>
      <c r="C121" s="70"/>
      <c r="D121" s="50">
        <f>SUM(D118:D120)</f>
        <v>70000</v>
      </c>
      <c r="E121" s="50">
        <f t="shared" ref="E121:N121" si="70">SUM(E118:E120)</f>
        <v>0</v>
      </c>
      <c r="F121" s="50">
        <f t="shared" si="70"/>
        <v>-20000</v>
      </c>
      <c r="G121" s="50">
        <f t="shared" si="70"/>
        <v>0</v>
      </c>
      <c r="H121" s="50">
        <f t="shared" si="70"/>
        <v>0</v>
      </c>
      <c r="I121" s="50">
        <f t="shared" si="70"/>
        <v>0</v>
      </c>
      <c r="J121" s="50">
        <f t="shared" si="70"/>
        <v>0</v>
      </c>
      <c r="K121" s="50">
        <f t="shared" si="70"/>
        <v>-20000</v>
      </c>
      <c r="L121" s="50">
        <f t="shared" si="70"/>
        <v>0</v>
      </c>
      <c r="M121" s="50">
        <f t="shared" si="70"/>
        <v>-200</v>
      </c>
      <c r="N121" s="50">
        <f t="shared" si="70"/>
        <v>-200</v>
      </c>
      <c r="O121" s="50">
        <f t="shared" ref="O121:P121" si="71">SUM(O118:O120)</f>
        <v>0</v>
      </c>
      <c r="P121" s="50">
        <f t="shared" si="71"/>
        <v>0</v>
      </c>
    </row>
    <row r="122" spans="1:16" outlineLevel="1">
      <c r="A122" s="41"/>
      <c r="B122" s="32"/>
      <c r="C122" s="33"/>
      <c r="D122" s="43"/>
      <c r="E122" s="43"/>
      <c r="F122" s="43"/>
      <c r="G122" s="43"/>
      <c r="H122" s="43"/>
      <c r="I122" s="41"/>
      <c r="J122" s="41"/>
      <c r="K122" s="41"/>
      <c r="L122" s="41"/>
      <c r="M122" s="41"/>
      <c r="N122" s="41"/>
      <c r="O122" s="41"/>
      <c r="P122" s="41"/>
    </row>
    <row r="123" spans="1:16" outlineLevel="1">
      <c r="A123" s="8" t="s">
        <v>67</v>
      </c>
      <c r="D123" s="71">
        <f t="shared" ref="D123:H123" si="72">D110+D115+D121</f>
        <v>67971.179199999999</v>
      </c>
      <c r="E123" s="71">
        <f t="shared" si="72"/>
        <v>13238.733497877969</v>
      </c>
      <c r="F123" s="71">
        <f t="shared" si="72"/>
        <v>2505.3438851313258</v>
      </c>
      <c r="G123" s="71">
        <f t="shared" si="72"/>
        <v>27354.07902359531</v>
      </c>
      <c r="H123" s="71">
        <f t="shared" si="72"/>
        <v>28480.18475858029</v>
      </c>
      <c r="I123" s="71">
        <f>I110+I115+I121</f>
        <v>19924.47044273973</v>
      </c>
      <c r="J123" s="71">
        <f t="shared" ref="J123:N123" si="73">J110+J115+J121</f>
        <v>23099.324112876711</v>
      </c>
      <c r="K123" s="71">
        <f t="shared" si="73"/>
        <v>7937.7204635178059</v>
      </c>
      <c r="L123" s="71">
        <f t="shared" si="73"/>
        <v>33888.281031119011</v>
      </c>
      <c r="M123" s="71">
        <f t="shared" si="73"/>
        <v>36848.228009667699</v>
      </c>
      <c r="N123" s="71">
        <f t="shared" si="73"/>
        <v>42002.842683973664</v>
      </c>
      <c r="O123" s="71">
        <f t="shared" ref="O123:P123" si="74">O110+O115+O121</f>
        <v>3390.9275553142852</v>
      </c>
      <c r="P123" s="71">
        <f t="shared" si="74"/>
        <v>16533.542887425428</v>
      </c>
    </row>
    <row r="124" spans="1:16" outlineLevel="1">
      <c r="A124" s="8" t="s">
        <v>68</v>
      </c>
      <c r="D124" s="48">
        <v>0</v>
      </c>
      <c r="E124" s="48">
        <v>67971.179200000013</v>
      </c>
      <c r="F124" s="48">
        <v>81209.912697877968</v>
      </c>
      <c r="G124" s="48">
        <v>83715.256583009294</v>
      </c>
      <c r="H124" s="48">
        <v>111069.33560660461</v>
      </c>
      <c r="I124" s="32">
        <f t="shared" ref="I124:N124" si="75">H125</f>
        <v>139549.5203651849</v>
      </c>
      <c r="J124" s="32">
        <f t="shared" si="75"/>
        <v>159473.99080792462</v>
      </c>
      <c r="K124" s="32">
        <f t="shared" si="75"/>
        <v>182573.31492080132</v>
      </c>
      <c r="L124" s="32">
        <f t="shared" si="75"/>
        <v>190511.03538431914</v>
      </c>
      <c r="M124" s="32">
        <f t="shared" si="75"/>
        <v>224399.31641543814</v>
      </c>
      <c r="N124" s="32">
        <f t="shared" si="75"/>
        <v>261247.54442510585</v>
      </c>
      <c r="O124" s="32">
        <f>H125</f>
        <v>139549.5203651849</v>
      </c>
      <c r="P124" s="32">
        <f>O125</f>
        <v>142940.44792049919</v>
      </c>
    </row>
    <row r="125" spans="1:16" outlineLevel="1">
      <c r="A125" s="27" t="s">
        <v>69</v>
      </c>
      <c r="B125" s="26"/>
      <c r="C125" s="70"/>
      <c r="D125" s="50">
        <f>SUM(D123:D124)</f>
        <v>67971.179199999999</v>
      </c>
      <c r="E125" s="50">
        <f t="shared" ref="E125:M125" si="76">SUM(E123:E124)</f>
        <v>81209.912697877982</v>
      </c>
      <c r="F125" s="50">
        <f t="shared" si="76"/>
        <v>83715.256583009294</v>
      </c>
      <c r="G125" s="50">
        <f t="shared" si="76"/>
        <v>111069.33560660461</v>
      </c>
      <c r="H125" s="50">
        <f t="shared" si="76"/>
        <v>139549.5203651849</v>
      </c>
      <c r="I125" s="50">
        <f t="shared" si="76"/>
        <v>159473.99080792462</v>
      </c>
      <c r="J125" s="50">
        <f t="shared" si="76"/>
        <v>182573.31492080132</v>
      </c>
      <c r="K125" s="50">
        <f t="shared" si="76"/>
        <v>190511.03538431914</v>
      </c>
      <c r="L125" s="50">
        <f t="shared" si="76"/>
        <v>224399.31641543814</v>
      </c>
      <c r="M125" s="50">
        <f t="shared" si="76"/>
        <v>261247.54442510585</v>
      </c>
      <c r="N125" s="50">
        <f>SUM(N123:N124)</f>
        <v>303250.38710907951</v>
      </c>
      <c r="O125" s="50">
        <f>SUM(O123:O124)</f>
        <v>142940.44792049919</v>
      </c>
      <c r="P125" s="50">
        <f>SUM(P123:P124)</f>
        <v>159473.99080792462</v>
      </c>
    </row>
    <row r="126" spans="1:16" outlineLevel="1">
      <c r="A126" s="21"/>
      <c r="D126" s="43"/>
      <c r="E126" s="52"/>
      <c r="F126" s="52"/>
      <c r="G126" s="52"/>
      <c r="H126" s="52"/>
    </row>
    <row r="127" spans="1:16" outlineLevel="1">
      <c r="A127" s="21"/>
      <c r="D127" s="43"/>
      <c r="E127" s="52"/>
      <c r="F127" s="52"/>
      <c r="G127" s="52"/>
      <c r="H127" s="52"/>
    </row>
    <row r="128" spans="1:16">
      <c r="D128" s="52"/>
      <c r="E128" s="52"/>
      <c r="F128" s="52"/>
      <c r="G128" s="52"/>
      <c r="H128" s="52"/>
    </row>
    <row r="129" spans="1:16" ht="20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idden="1" outlineLevel="1">
      <c r="D130" s="52"/>
      <c r="E130" s="52"/>
      <c r="F130" s="52"/>
      <c r="G130" s="52"/>
      <c r="H130" s="52"/>
    </row>
    <row r="131" spans="1:16" hidden="1" outlineLevel="1">
      <c r="A131" s="21" t="s">
        <v>71</v>
      </c>
      <c r="D131" s="52"/>
      <c r="E131" s="52"/>
      <c r="F131" s="52"/>
      <c r="G131" s="52"/>
      <c r="H131" s="52"/>
    </row>
    <row r="132" spans="1:16" hidden="1" outlineLevel="1">
      <c r="A132" s="8" t="s">
        <v>43</v>
      </c>
      <c r="D132" s="52">
        <v>5100.3500000000004</v>
      </c>
      <c r="E132" s="52">
        <v>5904.3</v>
      </c>
      <c r="F132" s="52">
        <v>6567.25</v>
      </c>
      <c r="G132" s="52">
        <v>7117.05</v>
      </c>
      <c r="H132" s="52">
        <v>7538.6</v>
      </c>
      <c r="I132" s="72">
        <f t="shared" ref="I132:N133" si="77">I82</f>
        <v>8178.8646575342473</v>
      </c>
      <c r="J132" s="72">
        <f t="shared" si="77"/>
        <v>8996.7511232876732</v>
      </c>
      <c r="K132" s="72">
        <f t="shared" si="77"/>
        <v>9896.42623561644</v>
      </c>
      <c r="L132" s="72">
        <f t="shared" si="77"/>
        <v>10757.631633442625</v>
      </c>
      <c r="M132" s="72">
        <f t="shared" si="77"/>
        <v>11650.072964567677</v>
      </c>
      <c r="N132" s="72">
        <f t="shared" si="77"/>
        <v>12465.578072087414</v>
      </c>
      <c r="O132" s="72">
        <f t="shared" ref="O132:P132" si="78">O82</f>
        <v>8245.074514285714</v>
      </c>
      <c r="P132" s="72">
        <f t="shared" si="78"/>
        <v>8178.8646575342473</v>
      </c>
    </row>
    <row r="133" spans="1:16" hidden="1" outlineLevel="1">
      <c r="A133" s="8" t="s">
        <v>44</v>
      </c>
      <c r="D133" s="52">
        <v>7804.6</v>
      </c>
      <c r="E133" s="52">
        <v>9600.8000000000011</v>
      </c>
      <c r="F133" s="52">
        <v>9824.6</v>
      </c>
      <c r="G133" s="52">
        <v>10530.800000000001</v>
      </c>
      <c r="H133" s="52">
        <v>11342</v>
      </c>
      <c r="I133" s="72">
        <f t="shared" si="77"/>
        <v>15267.21402739726</v>
      </c>
      <c r="J133" s="72">
        <f t="shared" si="77"/>
        <v>19343.014915068496</v>
      </c>
      <c r="K133" s="72">
        <f t="shared" si="77"/>
        <v>24191.264131506854</v>
      </c>
      <c r="L133" s="72">
        <f t="shared" si="77"/>
        <v>26894.079083606564</v>
      </c>
      <c r="M133" s="72">
        <f t="shared" si="77"/>
        <v>29772.408687228501</v>
      </c>
      <c r="N133" s="72">
        <f t="shared" si="77"/>
        <v>31856.477295334498</v>
      </c>
      <c r="O133" s="72">
        <f t="shared" ref="O133:P133" si="79">O83</f>
        <v>15390.805760000001</v>
      </c>
      <c r="P133" s="72">
        <f t="shared" si="79"/>
        <v>15267.21402739726</v>
      </c>
    </row>
    <row r="134" spans="1:16" hidden="1" outlineLevel="1">
      <c r="A134" s="8" t="s">
        <v>48</v>
      </c>
      <c r="D134" s="52">
        <v>3902.3</v>
      </c>
      <c r="E134" s="52">
        <v>4800.4000000000005</v>
      </c>
      <c r="F134" s="52">
        <v>4912.3</v>
      </c>
      <c r="G134" s="52">
        <v>5265.4000000000005</v>
      </c>
      <c r="H134" s="52">
        <v>5671</v>
      </c>
      <c r="I134" s="72">
        <f t="shared" ref="I134:N134" si="80">I91</f>
        <v>7061.086487671233</v>
      </c>
      <c r="J134" s="72">
        <f t="shared" si="80"/>
        <v>7952.1283539726046</v>
      </c>
      <c r="K134" s="72">
        <f t="shared" si="80"/>
        <v>8950.7677286575363</v>
      </c>
      <c r="L134" s="72">
        <f t="shared" si="80"/>
        <v>9950.8092609344294</v>
      </c>
      <c r="M134" s="72">
        <f t="shared" si="80"/>
        <v>11015.791214274544</v>
      </c>
      <c r="N134" s="72">
        <f t="shared" si="80"/>
        <v>11786.896599273763</v>
      </c>
      <c r="O134" s="72">
        <f t="shared" ref="O134:P134" si="81">O91</f>
        <v>7118.2476640000004</v>
      </c>
      <c r="P134" s="72">
        <f t="shared" si="81"/>
        <v>7061.086487671233</v>
      </c>
    </row>
    <row r="135" spans="1:16" hidden="1" outlineLevel="1">
      <c r="A135" s="26" t="s">
        <v>72</v>
      </c>
      <c r="B135" s="26"/>
      <c r="C135" s="70"/>
      <c r="D135" s="73">
        <f>D132+D133-D134</f>
        <v>9002.6500000000015</v>
      </c>
      <c r="E135" s="73">
        <f t="shared" ref="E135:M135" si="82">E132+E133-E134</f>
        <v>10704.7</v>
      </c>
      <c r="F135" s="73">
        <f t="shared" si="82"/>
        <v>11479.55</v>
      </c>
      <c r="G135" s="73">
        <f t="shared" si="82"/>
        <v>12382.45</v>
      </c>
      <c r="H135" s="73">
        <f t="shared" si="82"/>
        <v>13209.599999999999</v>
      </c>
      <c r="I135" s="74">
        <f t="shared" si="82"/>
        <v>16384.992197260275</v>
      </c>
      <c r="J135" s="74">
        <f t="shared" si="82"/>
        <v>20387.637684383561</v>
      </c>
      <c r="K135" s="74">
        <f t="shared" si="82"/>
        <v>25136.92263846576</v>
      </c>
      <c r="L135" s="74">
        <f t="shared" si="82"/>
        <v>27700.901456114756</v>
      </c>
      <c r="M135" s="74">
        <f t="shared" si="82"/>
        <v>30406.690437521629</v>
      </c>
      <c r="N135" s="74">
        <f>N132+N133-N134</f>
        <v>32535.158768148147</v>
      </c>
      <c r="O135" s="74">
        <f t="shared" ref="O135:P135" si="83">O132+O133-O134</f>
        <v>16517.632610285713</v>
      </c>
      <c r="P135" s="74">
        <f t="shared" si="83"/>
        <v>16384.992197260275</v>
      </c>
    </row>
    <row r="136" spans="1:16" hidden="1" outlineLevel="1">
      <c r="A136" s="8" t="s">
        <v>73</v>
      </c>
      <c r="D136" s="75">
        <f>D135-C135</f>
        <v>9002.6500000000015</v>
      </c>
      <c r="E136" s="75">
        <f t="shared" ref="E136:N136" si="84">E135-D135</f>
        <v>1702.0499999999993</v>
      </c>
      <c r="F136" s="75">
        <f t="shared" si="84"/>
        <v>774.84999999999854</v>
      </c>
      <c r="G136" s="75">
        <f t="shared" si="84"/>
        <v>902.90000000000146</v>
      </c>
      <c r="H136" s="75">
        <f t="shared" si="84"/>
        <v>827.14999999999782</v>
      </c>
      <c r="I136" s="72">
        <f t="shared" si="84"/>
        <v>3175.3921972602766</v>
      </c>
      <c r="J136" s="72">
        <f t="shared" si="84"/>
        <v>4002.6454871232854</v>
      </c>
      <c r="K136" s="72">
        <f t="shared" si="84"/>
        <v>4749.284954082199</v>
      </c>
      <c r="L136" s="72">
        <f t="shared" si="84"/>
        <v>2563.9788176489965</v>
      </c>
      <c r="M136" s="72">
        <f t="shared" si="84"/>
        <v>2705.7889814068731</v>
      </c>
      <c r="N136" s="72">
        <f t="shared" si="84"/>
        <v>2128.4683306265179</v>
      </c>
      <c r="O136" s="72">
        <f>O135-H135</f>
        <v>3308.0326102857143</v>
      </c>
      <c r="P136" s="72">
        <f>P135-O135</f>
        <v>-132.64041302543774</v>
      </c>
    </row>
    <row r="137" spans="1:16" hidden="1" outlineLevel="1">
      <c r="D137" s="52"/>
      <c r="E137" s="52"/>
      <c r="F137" s="52"/>
      <c r="G137" s="52"/>
      <c r="H137" s="52"/>
      <c r="I137" s="72"/>
      <c r="J137" s="72"/>
      <c r="K137" s="72"/>
      <c r="L137" s="72"/>
      <c r="M137" s="72"/>
      <c r="N137" s="72"/>
      <c r="O137" s="72"/>
      <c r="P137" s="72"/>
    </row>
    <row r="138" spans="1:16" hidden="1" outlineLevel="1">
      <c r="A138" s="21" t="s">
        <v>74</v>
      </c>
      <c r="D138" s="52"/>
      <c r="E138" s="52"/>
      <c r="F138" s="52"/>
      <c r="G138" s="52"/>
      <c r="H138" s="52"/>
      <c r="I138" s="72"/>
      <c r="J138" s="72"/>
      <c r="K138" s="72"/>
      <c r="L138" s="72"/>
      <c r="M138" s="72"/>
      <c r="N138" s="72"/>
      <c r="O138" s="72"/>
      <c r="P138" s="72"/>
    </row>
    <row r="139" spans="1:16" hidden="1" outlineLevel="1">
      <c r="A139" s="8" t="s">
        <v>75</v>
      </c>
      <c r="D139" s="52">
        <v>50000</v>
      </c>
      <c r="E139" s="52">
        <v>45500</v>
      </c>
      <c r="F139" s="52">
        <v>42350</v>
      </c>
      <c r="G139" s="52">
        <v>40145</v>
      </c>
      <c r="H139" s="52">
        <v>38601.5</v>
      </c>
      <c r="I139" s="72">
        <f t="shared" ref="I139:N139" si="85">H142</f>
        <v>37521.050000000003</v>
      </c>
      <c r="J139" s="72">
        <f t="shared" si="85"/>
        <v>45016.840000000004</v>
      </c>
      <c r="K139" s="72">
        <f t="shared" si="85"/>
        <v>51013.472000000002</v>
      </c>
      <c r="L139" s="72">
        <f t="shared" si="85"/>
        <v>55810.777600000009</v>
      </c>
      <c r="M139" s="72">
        <f t="shared" si="85"/>
        <v>59648.622080000001</v>
      </c>
      <c r="N139" s="72">
        <f t="shared" si="85"/>
        <v>62718.897664000004</v>
      </c>
      <c r="O139" s="72">
        <f>H142</f>
        <v>37521.050000000003</v>
      </c>
      <c r="P139" s="72">
        <f>O142</f>
        <v>39694.829100000003</v>
      </c>
    </row>
    <row r="140" spans="1:16" hidden="1" outlineLevel="1">
      <c r="A140" s="8" t="s">
        <v>76</v>
      </c>
      <c r="D140" s="52">
        <v>15000</v>
      </c>
      <c r="E140" s="52">
        <v>15000</v>
      </c>
      <c r="F140" s="52">
        <v>15000</v>
      </c>
      <c r="G140" s="52">
        <v>15000</v>
      </c>
      <c r="H140" s="52">
        <v>15000</v>
      </c>
      <c r="I140" s="72">
        <f t="shared" ref="I140:N140" si="86">I55</f>
        <v>15000</v>
      </c>
      <c r="J140" s="72">
        <f t="shared" si="86"/>
        <v>15000</v>
      </c>
      <c r="K140" s="72">
        <f t="shared" si="86"/>
        <v>15000</v>
      </c>
      <c r="L140" s="72">
        <f t="shared" si="86"/>
        <v>15000</v>
      </c>
      <c r="M140" s="72">
        <f t="shared" si="86"/>
        <v>15000</v>
      </c>
      <c r="N140" s="72">
        <f t="shared" si="86"/>
        <v>15000</v>
      </c>
      <c r="O140" s="72">
        <f>O55*O6</f>
        <v>4350</v>
      </c>
      <c r="P140" s="72">
        <f>P55*P6</f>
        <v>10650</v>
      </c>
    </row>
    <row r="141" spans="1:16" hidden="1" outlineLevel="1">
      <c r="A141" s="8" t="s">
        <v>77</v>
      </c>
      <c r="C141" s="62"/>
      <c r="D141" s="52">
        <v>19500</v>
      </c>
      <c r="E141" s="52">
        <v>18150</v>
      </c>
      <c r="F141" s="52">
        <v>17205</v>
      </c>
      <c r="G141" s="52">
        <v>16543.5</v>
      </c>
      <c r="H141" s="52">
        <v>16080.449999999999</v>
      </c>
      <c r="I141" s="76">
        <f t="shared" ref="I141:N141" si="87">I139*I49</f>
        <v>7504.2100000000009</v>
      </c>
      <c r="J141" s="76">
        <f t="shared" si="87"/>
        <v>9003.3680000000004</v>
      </c>
      <c r="K141" s="76">
        <f t="shared" si="87"/>
        <v>10202.6944</v>
      </c>
      <c r="L141" s="76">
        <f t="shared" si="87"/>
        <v>11162.155520000002</v>
      </c>
      <c r="M141" s="76">
        <f t="shared" si="87"/>
        <v>11929.724416000001</v>
      </c>
      <c r="N141" s="76">
        <f t="shared" si="87"/>
        <v>12543.779532800001</v>
      </c>
      <c r="O141" s="76">
        <f>O139*O49*O6</f>
        <v>2176.2209000000003</v>
      </c>
      <c r="P141" s="76">
        <f>P139*P49*P6</f>
        <v>5636.665732200001</v>
      </c>
    </row>
    <row r="142" spans="1:16" hidden="1" outlineLevel="1">
      <c r="A142" s="26" t="s">
        <v>78</v>
      </c>
      <c r="B142" s="26"/>
      <c r="C142" s="70"/>
      <c r="D142" s="73">
        <f>D139+D140-D141</f>
        <v>45500</v>
      </c>
      <c r="E142" s="73">
        <f t="shared" ref="E142:M142" si="88">E139+E140-E141</f>
        <v>42350</v>
      </c>
      <c r="F142" s="73">
        <f t="shared" si="88"/>
        <v>40145</v>
      </c>
      <c r="G142" s="73">
        <f t="shared" si="88"/>
        <v>38601.5</v>
      </c>
      <c r="H142" s="73">
        <f t="shared" si="88"/>
        <v>37521.050000000003</v>
      </c>
      <c r="I142" s="74">
        <f t="shared" si="88"/>
        <v>45016.840000000004</v>
      </c>
      <c r="J142" s="74">
        <f t="shared" si="88"/>
        <v>51013.472000000002</v>
      </c>
      <c r="K142" s="74">
        <f t="shared" si="88"/>
        <v>55810.777600000009</v>
      </c>
      <c r="L142" s="74">
        <f t="shared" si="88"/>
        <v>59648.622080000001</v>
      </c>
      <c r="M142" s="74">
        <f t="shared" si="88"/>
        <v>62718.897664000004</v>
      </c>
      <c r="N142" s="74">
        <f>N139+N140-N141</f>
        <v>65175.118131200004</v>
      </c>
      <c r="O142" s="74">
        <f>O139+O140-O141</f>
        <v>39694.829100000003</v>
      </c>
      <c r="P142" s="74">
        <f>P139+P140-P141</f>
        <v>44708.1633678</v>
      </c>
    </row>
    <row r="143" spans="1:16" hidden="1" outlineLevel="1">
      <c r="D143" s="52"/>
      <c r="E143" s="52"/>
      <c r="F143" s="52"/>
      <c r="G143" s="52"/>
      <c r="H143" s="52"/>
      <c r="I143" s="72"/>
      <c r="J143" s="72"/>
      <c r="K143" s="72"/>
      <c r="L143" s="72"/>
      <c r="M143" s="72"/>
      <c r="N143" s="72"/>
      <c r="O143" s="72"/>
      <c r="P143" s="72"/>
    </row>
    <row r="144" spans="1:16" hidden="1" outlineLevel="1">
      <c r="A144" s="21" t="s">
        <v>79</v>
      </c>
      <c r="D144" s="52"/>
      <c r="E144" s="52"/>
      <c r="F144" s="52"/>
      <c r="G144" s="52"/>
      <c r="H144" s="52"/>
      <c r="I144" s="72"/>
      <c r="J144" s="72"/>
      <c r="K144" s="72"/>
      <c r="L144" s="72"/>
      <c r="M144" s="72"/>
      <c r="N144" s="72"/>
      <c r="O144" s="72"/>
      <c r="P144" s="72"/>
    </row>
    <row r="145" spans="1:16" hidden="1" outlineLevel="1">
      <c r="A145" s="8" t="s">
        <v>80</v>
      </c>
      <c r="D145" s="52">
        <v>50000</v>
      </c>
      <c r="E145" s="52">
        <v>50000</v>
      </c>
      <c r="F145" s="52">
        <v>50000</v>
      </c>
      <c r="G145" s="52">
        <v>30000</v>
      </c>
      <c r="H145" s="52">
        <v>30000</v>
      </c>
      <c r="I145" s="72">
        <f t="shared" ref="I145:N145" si="89">H147</f>
        <v>30000</v>
      </c>
      <c r="J145" s="72">
        <f t="shared" si="89"/>
        <v>30000</v>
      </c>
      <c r="K145" s="72">
        <f t="shared" si="89"/>
        <v>30000</v>
      </c>
      <c r="L145" s="72">
        <f t="shared" si="89"/>
        <v>10000</v>
      </c>
      <c r="M145" s="72">
        <f t="shared" si="89"/>
        <v>10000</v>
      </c>
      <c r="N145" s="72">
        <f t="shared" si="89"/>
        <v>10000</v>
      </c>
      <c r="O145" s="72">
        <f>H147</f>
        <v>30000</v>
      </c>
      <c r="P145" s="72">
        <f>O147</f>
        <v>30000</v>
      </c>
    </row>
    <row r="146" spans="1:16" hidden="1" outlineLevel="1">
      <c r="A146" s="8" t="s">
        <v>81</v>
      </c>
      <c r="D146" s="52">
        <v>0</v>
      </c>
      <c r="E146" s="52">
        <v>0</v>
      </c>
      <c r="F146" s="52">
        <v>-20000</v>
      </c>
      <c r="G146" s="52">
        <v>0</v>
      </c>
      <c r="H146" s="52">
        <v>0</v>
      </c>
      <c r="I146" s="77">
        <f t="shared" ref="I146:P146" si="90">I56</f>
        <v>0</v>
      </c>
      <c r="J146" s="77">
        <f t="shared" si="90"/>
        <v>0</v>
      </c>
      <c r="K146" s="77">
        <f t="shared" si="90"/>
        <v>-20000</v>
      </c>
      <c r="L146" s="77">
        <f t="shared" si="90"/>
        <v>0</v>
      </c>
      <c r="M146" s="77">
        <f t="shared" si="90"/>
        <v>0</v>
      </c>
      <c r="N146" s="77">
        <f t="shared" si="90"/>
        <v>0</v>
      </c>
      <c r="O146" s="77">
        <f t="shared" si="90"/>
        <v>0</v>
      </c>
      <c r="P146" s="77">
        <f t="shared" si="90"/>
        <v>0</v>
      </c>
    </row>
    <row r="147" spans="1:16" hidden="1" outlineLevel="1">
      <c r="A147" s="26" t="s">
        <v>82</v>
      </c>
      <c r="B147" s="26"/>
      <c r="C147" s="70"/>
      <c r="D147" s="73">
        <f>SUM(D145:D146)</f>
        <v>50000</v>
      </c>
      <c r="E147" s="73">
        <f t="shared" ref="E147:M147" si="91">SUM(E145:E146)</f>
        <v>50000</v>
      </c>
      <c r="F147" s="73">
        <f t="shared" si="91"/>
        <v>30000</v>
      </c>
      <c r="G147" s="73">
        <f t="shared" si="91"/>
        <v>30000</v>
      </c>
      <c r="H147" s="73">
        <f t="shared" si="91"/>
        <v>30000</v>
      </c>
      <c r="I147" s="78">
        <f t="shared" si="91"/>
        <v>30000</v>
      </c>
      <c r="J147" s="78">
        <f t="shared" si="91"/>
        <v>30000</v>
      </c>
      <c r="K147" s="78">
        <f t="shared" si="91"/>
        <v>10000</v>
      </c>
      <c r="L147" s="78">
        <f t="shared" si="91"/>
        <v>10000</v>
      </c>
      <c r="M147" s="78">
        <f t="shared" si="91"/>
        <v>10000</v>
      </c>
      <c r="N147" s="78">
        <f>SUM(N145:N146)</f>
        <v>10000</v>
      </c>
      <c r="O147" s="78">
        <f t="shared" ref="O147:P147" si="92">SUM(O145:O146)</f>
        <v>30000</v>
      </c>
      <c r="P147" s="78">
        <f t="shared" si="92"/>
        <v>30000</v>
      </c>
    </row>
    <row r="148" spans="1:16" hidden="1" outlineLevel="1">
      <c r="A148" s="8" t="s">
        <v>83</v>
      </c>
      <c r="C148" s="62"/>
      <c r="D148" s="52">
        <v>2500</v>
      </c>
      <c r="E148" s="52">
        <v>2500</v>
      </c>
      <c r="F148" s="52">
        <v>1500</v>
      </c>
      <c r="G148" s="52">
        <v>1500</v>
      </c>
      <c r="H148" s="52">
        <v>1500</v>
      </c>
      <c r="I148" s="72">
        <f t="shared" ref="I148:N148" si="93">I147*I50</f>
        <v>3000</v>
      </c>
      <c r="J148" s="72">
        <f t="shared" si="93"/>
        <v>3000</v>
      </c>
      <c r="K148" s="72">
        <f t="shared" si="93"/>
        <v>1000</v>
      </c>
      <c r="L148" s="72">
        <f t="shared" si="93"/>
        <v>1000</v>
      </c>
      <c r="M148" s="72">
        <f t="shared" si="93"/>
        <v>1000</v>
      </c>
      <c r="N148" s="72">
        <f t="shared" si="93"/>
        <v>1000</v>
      </c>
      <c r="O148" s="72">
        <f>O147*O50*O6</f>
        <v>869.99999999999989</v>
      </c>
      <c r="P148" s="72">
        <f>P147*P50*P6</f>
        <v>2130</v>
      </c>
    </row>
    <row r="149" spans="1:16" hidden="1" outlineLevel="1">
      <c r="D149" s="52"/>
      <c r="E149" s="52"/>
      <c r="F149" s="52"/>
      <c r="G149" s="52"/>
      <c r="H149" s="52"/>
    </row>
    <row r="150" spans="1:16" hidden="1" outlineLevel="1">
      <c r="D150" s="52"/>
      <c r="E150" s="52"/>
      <c r="F150" s="52"/>
      <c r="G150" s="52"/>
      <c r="H150" s="52"/>
    </row>
    <row r="151" spans="1:16" collapsed="1">
      <c r="D151" s="52"/>
      <c r="E151" s="52"/>
      <c r="F151" s="52"/>
      <c r="G151" s="52"/>
      <c r="H151" s="52"/>
    </row>
    <row r="152" spans="1:16" ht="20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>
      <c r="A153" s="21"/>
      <c r="D153" s="52"/>
      <c r="E153" s="52"/>
      <c r="F153" s="52"/>
      <c r="G153" s="52"/>
      <c r="H153" s="52"/>
    </row>
    <row r="154" spans="1:16" outlineLevel="1">
      <c r="A154" s="79" t="s">
        <v>14</v>
      </c>
      <c r="B154" s="52"/>
      <c r="C154" s="52"/>
      <c r="D154" s="52"/>
    </row>
    <row r="155" spans="1:16" outlineLevel="1">
      <c r="A155" s="73" t="s">
        <v>85</v>
      </c>
      <c r="B155" s="80"/>
      <c r="C155" s="81">
        <v>0.25</v>
      </c>
      <c r="D155" s="52"/>
    </row>
    <row r="156" spans="1:16" outlineLevel="1">
      <c r="A156" s="75" t="s">
        <v>86</v>
      </c>
      <c r="C156" s="82">
        <v>0.1</v>
      </c>
    </row>
    <row r="157" spans="1:16" outlineLevel="1">
      <c r="A157" s="8" t="s">
        <v>231</v>
      </c>
      <c r="C157" s="82">
        <v>0.03</v>
      </c>
      <c r="J157" s="62"/>
      <c r="K157" s="62"/>
      <c r="L157" s="62"/>
      <c r="M157" s="62"/>
      <c r="N157" s="62"/>
    </row>
    <row r="158" spans="1:16" outlineLevel="1">
      <c r="A158" s="8" t="s">
        <v>232</v>
      </c>
      <c r="C158" s="83">
        <v>8</v>
      </c>
      <c r="J158" s="62"/>
      <c r="K158" s="62"/>
      <c r="L158" s="62"/>
      <c r="M158" s="62"/>
      <c r="N158" s="62"/>
    </row>
    <row r="159" spans="1:16" outlineLevel="1">
      <c r="A159" s="8" t="s">
        <v>7</v>
      </c>
      <c r="C159" s="163">
        <f>'Deal Assumptions &amp; Analysis'!D9</f>
        <v>13</v>
      </c>
      <c r="J159" s="62"/>
      <c r="K159" s="62"/>
      <c r="L159" s="62"/>
      <c r="M159" s="62"/>
      <c r="N159" s="62"/>
    </row>
    <row r="160" spans="1:16" outlineLevel="1">
      <c r="A160" s="8" t="s">
        <v>87</v>
      </c>
      <c r="C160" s="162">
        <f>'Deal Assumptions &amp; Analysis'!D23</f>
        <v>50000</v>
      </c>
    </row>
    <row r="161" spans="1:14" outlineLevel="1">
      <c r="C161" s="85"/>
    </row>
    <row r="162" spans="1:14" outlineLevel="1">
      <c r="C162" s="84"/>
    </row>
    <row r="163" spans="1:14" outlineLevel="1">
      <c r="A163" s="47" t="s">
        <v>88</v>
      </c>
      <c r="B163" s="53"/>
      <c r="C163" s="86" t="s">
        <v>89</v>
      </c>
      <c r="D163" s="87">
        <f>I2</f>
        <v>2017</v>
      </c>
      <c r="E163" s="88">
        <f>+D163+1</f>
        <v>2018</v>
      </c>
      <c r="F163" s="88">
        <f>+E163+1</f>
        <v>2019</v>
      </c>
      <c r="G163" s="88">
        <f>+F163+1</f>
        <v>2020</v>
      </c>
      <c r="H163" s="88">
        <f>+G163+1</f>
        <v>2021</v>
      </c>
      <c r="I163" s="88">
        <f>+H163+1</f>
        <v>2022</v>
      </c>
      <c r="J163" s="86" t="s">
        <v>90</v>
      </c>
      <c r="L163" s="21" t="s">
        <v>91</v>
      </c>
    </row>
    <row r="164" spans="1:14" outlineLevel="1">
      <c r="A164" s="89" t="s">
        <v>0</v>
      </c>
      <c r="B164" s="89"/>
      <c r="C164" s="161">
        <f>'Deal Assumptions &amp; Analysis'!$D$11</f>
        <v>42840</v>
      </c>
      <c r="D164" s="90">
        <f t="shared" ref="D164:I164" si="94">DATE(D163,12,31)</f>
        <v>43100</v>
      </c>
      <c r="E164" s="90">
        <f t="shared" si="94"/>
        <v>43465</v>
      </c>
      <c r="F164" s="90">
        <f t="shared" si="94"/>
        <v>43830</v>
      </c>
      <c r="G164" s="90">
        <f t="shared" si="94"/>
        <v>44196</v>
      </c>
      <c r="H164" s="90">
        <f t="shared" si="94"/>
        <v>44561</v>
      </c>
      <c r="I164" s="90">
        <f t="shared" si="94"/>
        <v>44926</v>
      </c>
      <c r="J164" s="90">
        <f>I164</f>
        <v>44926</v>
      </c>
      <c r="L164" s="26" t="s">
        <v>2</v>
      </c>
      <c r="M164" s="26"/>
      <c r="N164" s="91">
        <f>+H171*C158</f>
        <v>579263.26838438411</v>
      </c>
    </row>
    <row r="165" spans="1:14" outlineLevel="1">
      <c r="A165" s="67" t="s">
        <v>92</v>
      </c>
      <c r="B165" s="67"/>
      <c r="C165" s="67"/>
      <c r="D165" s="92">
        <f t="shared" ref="D165:I165" si="95">YEARFRAC(C164,D164)</f>
        <v>0.71111111111111114</v>
      </c>
      <c r="E165" s="92">
        <f t="shared" si="95"/>
        <v>1</v>
      </c>
      <c r="F165" s="92">
        <f t="shared" si="95"/>
        <v>1</v>
      </c>
      <c r="G165" s="92">
        <f t="shared" si="95"/>
        <v>1</v>
      </c>
      <c r="H165" s="92">
        <f t="shared" si="95"/>
        <v>1</v>
      </c>
      <c r="I165" s="92">
        <f t="shared" si="95"/>
        <v>1</v>
      </c>
      <c r="J165" s="92">
        <f>H165</f>
        <v>1</v>
      </c>
    </row>
    <row r="166" spans="1:14" outlineLevel="1">
      <c r="A166" s="67"/>
      <c r="B166" s="67"/>
      <c r="C166" s="67"/>
      <c r="D166" s="92"/>
      <c r="E166" s="92"/>
      <c r="F166" s="92"/>
      <c r="G166" s="92"/>
      <c r="H166" s="92"/>
      <c r="I166" s="92"/>
      <c r="J166" s="93"/>
    </row>
    <row r="167" spans="1:14" outlineLevel="1">
      <c r="A167" s="8" t="s">
        <v>5</v>
      </c>
      <c r="C167" s="8"/>
      <c r="D167" s="32">
        <f t="shared" ref="D167:I167" si="96">I72+I70</f>
        <v>45493.962000000007</v>
      </c>
      <c r="E167" s="32">
        <f t="shared" si="96"/>
        <v>48970.28</v>
      </c>
      <c r="F167" s="32">
        <f t="shared" si="96"/>
        <v>53061.54308000001</v>
      </c>
      <c r="G167" s="32">
        <f t="shared" si="96"/>
        <v>56958.478234400012</v>
      </c>
      <c r="H167" s="32">
        <f t="shared" si="96"/>
        <v>60478.184132048016</v>
      </c>
      <c r="I167" s="32">
        <f t="shared" si="96"/>
        <v>65982.682613611367</v>
      </c>
    </row>
    <row r="168" spans="1:14" outlineLevel="1">
      <c r="A168" s="8" t="s">
        <v>93</v>
      </c>
      <c r="C168" s="8"/>
      <c r="D168" s="94">
        <f t="shared" ref="D168:I168" si="97">D167*$C$155</f>
        <v>11373.490500000002</v>
      </c>
      <c r="E168" s="94">
        <f t="shared" si="97"/>
        <v>12242.57</v>
      </c>
      <c r="F168" s="94">
        <f t="shared" si="97"/>
        <v>13265.385770000003</v>
      </c>
      <c r="G168" s="94">
        <f t="shared" si="97"/>
        <v>14239.619558600003</v>
      </c>
      <c r="H168" s="94">
        <f t="shared" si="97"/>
        <v>15119.546033012004</v>
      </c>
      <c r="I168" s="94">
        <f t="shared" si="97"/>
        <v>16495.670653402842</v>
      </c>
    </row>
    <row r="169" spans="1:14" outlineLevel="1">
      <c r="A169" s="26" t="s">
        <v>94</v>
      </c>
      <c r="B169" s="26"/>
      <c r="C169" s="26"/>
      <c r="D169" s="91">
        <f t="shared" ref="D169:I169" si="98">D167-D168</f>
        <v>34120.471500000007</v>
      </c>
      <c r="E169" s="91">
        <f t="shared" si="98"/>
        <v>36727.71</v>
      </c>
      <c r="F169" s="91">
        <f t="shared" si="98"/>
        <v>39796.15731000001</v>
      </c>
      <c r="G169" s="91">
        <f t="shared" si="98"/>
        <v>42718.858675800009</v>
      </c>
      <c r="H169" s="91">
        <f t="shared" si="98"/>
        <v>45358.638099036012</v>
      </c>
      <c r="I169" s="91">
        <f t="shared" si="98"/>
        <v>49487.011960208525</v>
      </c>
    </row>
    <row r="170" spans="1:14" outlineLevel="1">
      <c r="A170" s="8" t="s">
        <v>95</v>
      </c>
      <c r="C170" s="32"/>
      <c r="D170" s="95">
        <f t="shared" ref="D170:I170" si="99">+I108</f>
        <v>7504.2100000000009</v>
      </c>
      <c r="E170" s="95">
        <f t="shared" si="99"/>
        <v>9003.3680000000004</v>
      </c>
      <c r="F170" s="95">
        <f t="shared" si="99"/>
        <v>10202.6944</v>
      </c>
      <c r="G170" s="95">
        <f t="shared" si="99"/>
        <v>11162.155520000002</v>
      </c>
      <c r="H170" s="95">
        <f t="shared" si="99"/>
        <v>11929.724416000001</v>
      </c>
      <c r="I170" s="95">
        <f t="shared" si="99"/>
        <v>12543.779532800001</v>
      </c>
      <c r="J170" s="32"/>
    </row>
    <row r="171" spans="1:14" outlineLevel="1">
      <c r="A171" s="8" t="s">
        <v>4</v>
      </c>
      <c r="C171" s="32"/>
      <c r="D171" s="95">
        <f t="shared" ref="D171:I171" si="100">D167+D170</f>
        <v>52998.172000000006</v>
      </c>
      <c r="E171" s="95">
        <f t="shared" si="100"/>
        <v>57973.648000000001</v>
      </c>
      <c r="F171" s="95">
        <f t="shared" si="100"/>
        <v>63264.237480000011</v>
      </c>
      <c r="G171" s="95">
        <f t="shared" si="100"/>
        <v>68120.633754400013</v>
      </c>
      <c r="H171" s="95">
        <f t="shared" si="100"/>
        <v>72407.908548048013</v>
      </c>
      <c r="I171" s="95">
        <f t="shared" si="100"/>
        <v>78526.462146411373</v>
      </c>
      <c r="J171" s="32"/>
    </row>
    <row r="172" spans="1:14" outlineLevel="1">
      <c r="A172" s="8" t="s">
        <v>96</v>
      </c>
      <c r="C172" s="32"/>
      <c r="D172" s="32">
        <f>-I113</f>
        <v>15000</v>
      </c>
      <c r="E172" s="32">
        <f t="shared" ref="E172:I172" si="101">-J113</f>
        <v>15000</v>
      </c>
      <c r="F172" s="32">
        <f t="shared" si="101"/>
        <v>15000</v>
      </c>
      <c r="G172" s="32">
        <f t="shared" si="101"/>
        <v>15000</v>
      </c>
      <c r="H172" s="32">
        <f t="shared" si="101"/>
        <v>15000</v>
      </c>
      <c r="I172" s="32">
        <f t="shared" si="101"/>
        <v>15000</v>
      </c>
      <c r="J172" s="32"/>
    </row>
    <row r="173" spans="1:14" outlineLevel="1">
      <c r="A173" s="8" t="s">
        <v>97</v>
      </c>
      <c r="C173" s="32"/>
      <c r="D173" s="32">
        <f t="shared" ref="D173:I173" si="102">I136</f>
        <v>3175.3921972602766</v>
      </c>
      <c r="E173" s="32">
        <f t="shared" si="102"/>
        <v>4002.6454871232854</v>
      </c>
      <c r="F173" s="32">
        <f t="shared" si="102"/>
        <v>4749.284954082199</v>
      </c>
      <c r="G173" s="32">
        <f t="shared" si="102"/>
        <v>2563.9788176489965</v>
      </c>
      <c r="H173" s="32">
        <f t="shared" si="102"/>
        <v>2705.7889814068731</v>
      </c>
      <c r="I173" s="32">
        <f t="shared" si="102"/>
        <v>2128.4683306265179</v>
      </c>
      <c r="J173" s="32"/>
    </row>
    <row r="174" spans="1:14" outlineLevel="1">
      <c r="A174" s="27" t="s">
        <v>98</v>
      </c>
      <c r="B174" s="27"/>
      <c r="C174" s="27"/>
      <c r="D174" s="215">
        <f>D169+D170-D172-D173</f>
        <v>23449.289302739729</v>
      </c>
      <c r="E174" s="215">
        <f t="shared" ref="E174:I174" si="103">E169+E170-E172-E173</f>
        <v>26728.432512876716</v>
      </c>
      <c r="F174" s="215">
        <f t="shared" si="103"/>
        <v>30249.566755917811</v>
      </c>
      <c r="G174" s="215">
        <f t="shared" si="103"/>
        <v>36317.035378151013</v>
      </c>
      <c r="H174" s="215">
        <f t="shared" si="103"/>
        <v>39582.57353362914</v>
      </c>
      <c r="I174" s="215">
        <f t="shared" si="103"/>
        <v>44902.323162382003</v>
      </c>
      <c r="J174" s="96">
        <f>N164</f>
        <v>579263.26838438411</v>
      </c>
    </row>
    <row r="175" spans="1:14" outlineLevel="1">
      <c r="C175" s="8"/>
      <c r="D175" s="32"/>
      <c r="E175" s="32"/>
      <c r="F175" s="32"/>
      <c r="G175" s="32"/>
      <c r="H175" s="32"/>
      <c r="I175" s="32"/>
      <c r="J175" s="53"/>
    </row>
    <row r="176" spans="1:14" outlineLevel="1">
      <c r="A176" s="21" t="s">
        <v>99</v>
      </c>
      <c r="B176" s="21"/>
      <c r="C176" s="21">
        <v>0</v>
      </c>
      <c r="D176" s="41">
        <f t="shared" ref="D176:J176" si="104">D174*D165</f>
        <v>16675.050170837141</v>
      </c>
      <c r="E176" s="41">
        <f t="shared" si="104"/>
        <v>26728.432512876716</v>
      </c>
      <c r="F176" s="41">
        <f t="shared" si="104"/>
        <v>30249.566755917811</v>
      </c>
      <c r="G176" s="41">
        <f t="shared" si="104"/>
        <v>36317.035378151013</v>
      </c>
      <c r="H176" s="41">
        <f t="shared" si="104"/>
        <v>39582.57353362914</v>
      </c>
      <c r="I176" s="41">
        <f t="shared" si="104"/>
        <v>44902.323162382003</v>
      </c>
      <c r="J176" s="41">
        <f t="shared" si="104"/>
        <v>579263.26838438411</v>
      </c>
    </row>
    <row r="177" spans="1:12" outlineLevel="1">
      <c r="C177" s="32"/>
      <c r="D177" s="32"/>
      <c r="E177" s="32"/>
      <c r="F177" s="32"/>
      <c r="G177" s="32"/>
      <c r="H177" s="32"/>
      <c r="I177" s="32"/>
      <c r="J177" s="32"/>
    </row>
    <row r="178" spans="1:12" outlineLevel="1">
      <c r="A178" s="21" t="s">
        <v>100</v>
      </c>
      <c r="B178" s="21"/>
      <c r="C178" s="41">
        <f>-G184</f>
        <v>-537059.55207950086</v>
      </c>
      <c r="D178" s="41">
        <f t="shared" ref="D178:J178" si="105">D176</f>
        <v>16675.050170837141</v>
      </c>
      <c r="E178" s="41">
        <f t="shared" si="105"/>
        <v>26728.432512876716</v>
      </c>
      <c r="F178" s="41">
        <f t="shared" si="105"/>
        <v>30249.566755917811</v>
      </c>
      <c r="G178" s="41">
        <f t="shared" si="105"/>
        <v>36317.035378151013</v>
      </c>
      <c r="H178" s="41">
        <f t="shared" si="105"/>
        <v>39582.57353362914</v>
      </c>
      <c r="I178" s="41">
        <f t="shared" si="105"/>
        <v>44902.323162382003</v>
      </c>
      <c r="J178" s="41">
        <f t="shared" si="105"/>
        <v>579263.26838438411</v>
      </c>
    </row>
    <row r="179" spans="1:12" outlineLevel="1">
      <c r="A179" s="32"/>
      <c r="B179" s="97"/>
      <c r="C179" s="32"/>
      <c r="D179" s="32"/>
      <c r="E179" s="32"/>
      <c r="F179" s="32"/>
      <c r="G179" s="32"/>
      <c r="H179" s="32"/>
    </row>
    <row r="180" spans="1:12" outlineLevel="1">
      <c r="A180" s="21" t="s">
        <v>101</v>
      </c>
      <c r="C180" s="32"/>
      <c r="E180" s="21" t="s">
        <v>102</v>
      </c>
      <c r="J180" s="21" t="s">
        <v>103</v>
      </c>
    </row>
    <row r="181" spans="1:12" outlineLevel="1">
      <c r="A181" s="26" t="s">
        <v>104</v>
      </c>
      <c r="B181" s="26"/>
      <c r="C181" s="26">
        <f>XNPV(C156,C176:J176,C164:J164)</f>
        <v>474409.36307060474</v>
      </c>
      <c r="E181" s="26" t="s">
        <v>3</v>
      </c>
      <c r="F181" s="26"/>
      <c r="G181" s="26">
        <f>C159*C160</f>
        <v>650000</v>
      </c>
      <c r="J181" s="26" t="s">
        <v>109</v>
      </c>
      <c r="K181" s="26"/>
      <c r="L181" s="291">
        <f>XIRR(C178:J178,C164:J164)</f>
        <v>7.3429957032203702E-2</v>
      </c>
    </row>
    <row r="182" spans="1:12" outlineLevel="1">
      <c r="A182" s="8" t="s">
        <v>105</v>
      </c>
      <c r="C182" s="8">
        <f>+H81</f>
        <v>139549.5203651849</v>
      </c>
      <c r="E182" s="8" t="s">
        <v>106</v>
      </c>
      <c r="G182" s="8">
        <f>O93+O90</f>
        <v>30000</v>
      </c>
    </row>
    <row r="183" spans="1:12" outlineLevel="1">
      <c r="A183" s="8" t="s">
        <v>107</v>
      </c>
      <c r="C183" s="8">
        <f>H93</f>
        <v>30000</v>
      </c>
      <c r="E183" s="8" t="s">
        <v>108</v>
      </c>
      <c r="G183" s="8">
        <f>O81</f>
        <v>142940.44792049919</v>
      </c>
      <c r="J183" s="32"/>
      <c r="K183" s="32"/>
      <c r="L183" s="97"/>
    </row>
    <row r="184" spans="1:12" outlineLevel="1">
      <c r="A184" s="8" t="s">
        <v>8</v>
      </c>
      <c r="C184" s="26">
        <f>C181+C182-C183</f>
        <v>583958.88343578961</v>
      </c>
      <c r="E184" s="8" t="s">
        <v>104</v>
      </c>
      <c r="G184" s="26">
        <f>G181+G182-G183</f>
        <v>537059.55207950086</v>
      </c>
    </row>
    <row r="185" spans="1:12" outlineLevel="1">
      <c r="C185" s="8"/>
      <c r="G185" s="93"/>
    </row>
    <row r="186" spans="1:12" outlineLevel="1">
      <c r="A186" s="21" t="s">
        <v>110</v>
      </c>
      <c r="C186" s="99">
        <f>C184/C160</f>
        <v>11.679177668715793</v>
      </c>
      <c r="E186" s="21" t="s">
        <v>110</v>
      </c>
      <c r="F186" s="21"/>
      <c r="G186" s="100">
        <f>C159</f>
        <v>13</v>
      </c>
    </row>
    <row r="187" spans="1:12" outlineLevel="1">
      <c r="C187" s="8"/>
    </row>
    <row r="188" spans="1:12" outlineLevel="1">
      <c r="C188" s="8"/>
    </row>
    <row r="189" spans="1:12">
      <c r="C189" s="8"/>
    </row>
  </sheetData>
  <conditionalFormatting sqref="G10 J10 D4:N6">
    <cfRule type="containsText" dxfId="31" priority="19" operator="containsText" text="OK">
      <formula>NOT(ISERROR(SEARCH("OK",D4)))</formula>
    </cfRule>
    <cfRule type="containsText" dxfId="30" priority="20" operator="containsText" text="ERROR">
      <formula>NOT(ISERROR(SEARCH("ERROR",D4)))</formula>
    </cfRule>
  </conditionalFormatting>
  <conditionalFormatting sqref="O4">
    <cfRule type="containsText" dxfId="29" priority="17" operator="containsText" text="OK">
      <formula>NOT(ISERROR(SEARCH("OK",O4)))</formula>
    </cfRule>
    <cfRule type="containsText" dxfId="28" priority="18" operator="containsText" text="ERROR">
      <formula>NOT(ISERROR(SEARCH("ERROR",O4)))</formula>
    </cfRule>
  </conditionalFormatting>
  <conditionalFormatting sqref="O6">
    <cfRule type="containsText" dxfId="27" priority="15" operator="containsText" text="OK">
      <formula>NOT(ISERROR(SEARCH("OK",O6)))</formula>
    </cfRule>
    <cfRule type="containsText" dxfId="26" priority="16" operator="containsText" text="ERROR">
      <formula>NOT(ISERROR(SEARCH("ERROR",O6)))</formula>
    </cfRule>
  </conditionalFormatting>
  <conditionalFormatting sqref="P4">
    <cfRule type="containsText" dxfId="25" priority="13" operator="containsText" text="OK">
      <formula>NOT(ISERROR(SEARCH("OK",P4)))</formula>
    </cfRule>
    <cfRule type="containsText" dxfId="24" priority="14" operator="containsText" text="ERROR">
      <formula>NOT(ISERROR(SEARCH("ERROR",P4)))</formula>
    </cfRule>
  </conditionalFormatting>
  <conditionalFormatting sqref="P6">
    <cfRule type="containsText" dxfId="23" priority="7" operator="containsText" text="OK">
      <formula>NOT(ISERROR(SEARCH("OK",P6)))</formula>
    </cfRule>
    <cfRule type="containsText" dxfId="22" priority="8" operator="containsText" text="ERROR">
      <formula>NOT(ISERROR(SEARCH("ERROR",P6)))</formula>
    </cfRule>
  </conditionalFormatting>
  <conditionalFormatting sqref="O5">
    <cfRule type="containsText" dxfId="21" priority="5" operator="containsText" text="OK">
      <formula>NOT(ISERROR(SEARCH("OK",O5)))</formula>
    </cfRule>
    <cfRule type="containsText" dxfId="20" priority="6" operator="containsText" text="ERROR">
      <formula>NOT(ISERROR(SEARCH("ERROR",O5)))</formula>
    </cfRule>
  </conditionalFormatting>
  <conditionalFormatting sqref="P5">
    <cfRule type="containsText" dxfId="19" priority="3" operator="containsText" text="OK">
      <formula>NOT(ISERROR(SEARCH("OK",P5)))</formula>
    </cfRule>
    <cfRule type="containsText" dxfId="18" priority="4" operator="containsText" text="ERROR">
      <formula>NOT(ISERROR(SEARCH("ERROR",P5)))</formula>
    </cfRule>
  </conditionalFormatting>
  <conditionalFormatting sqref="H10">
    <cfRule type="containsText" dxfId="17" priority="1" operator="containsText" text="OK">
      <formula>NOT(ISERROR(SEARCH("OK",H10)))</formula>
    </cfRule>
    <cfRule type="containsText" dxfId="16" priority="2" operator="containsText" text="ERROR">
      <formula>NOT(ISERROR(SEARCH("ERROR",H10)))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9"/>
  <sheetViews>
    <sheetView showGridLines="0" tabSelected="1" zoomScaleNormal="100" workbookViewId="0">
      <pane ySplit="6" topLeftCell="A160" activePane="bottomLeft" state="frozen"/>
      <selection activeCell="H141" sqref="H141"/>
      <selection pane="bottomLeft"/>
    </sheetView>
  </sheetViews>
  <sheetFormatPr baseColWidth="10" defaultColWidth="9.1640625" defaultRowHeight="16" outlineLevelRow="1"/>
  <cols>
    <col min="1" max="2" width="14.5" style="8" customWidth="1"/>
    <col min="3" max="3" width="14.5" style="14" customWidth="1"/>
    <col min="4" max="16" width="14.5" style="8" customWidth="1"/>
    <col min="17" max="16384" width="9.1640625" style="8"/>
  </cols>
  <sheetData>
    <row r="1" spans="1:16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46" t="s">
        <v>213</v>
      </c>
      <c r="P1" s="147"/>
    </row>
    <row r="2" spans="1:16" ht="21" customHeight="1">
      <c r="A2" s="9" t="str">
        <f>'Deal Assumptions &amp; Analysis'!D8&amp;" Model"</f>
        <v>Company Y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48">
        <f>O4</f>
        <v>42840</v>
      </c>
      <c r="P2" s="148">
        <f>+P4</f>
        <v>43100</v>
      </c>
    </row>
    <row r="3" spans="1:16" hidden="1" outlineLevel="1">
      <c r="A3" s="124" t="s">
        <v>12</v>
      </c>
      <c r="B3" s="124"/>
      <c r="C3" s="149"/>
      <c r="D3" s="150" t="str">
        <f t="shared" ref="D3:P3" si="1">IFERROR(IF(ABS(D101)&gt;1,"ERROR","ok"),"ok")</f>
        <v>ok</v>
      </c>
      <c r="E3" s="150" t="str">
        <f t="shared" si="1"/>
        <v>ok</v>
      </c>
      <c r="F3" s="150" t="str">
        <f t="shared" si="1"/>
        <v>ok</v>
      </c>
      <c r="G3" s="150" t="str">
        <f t="shared" si="1"/>
        <v>ok</v>
      </c>
      <c r="H3" s="150" t="str">
        <f t="shared" si="1"/>
        <v>ok</v>
      </c>
      <c r="I3" s="150" t="str">
        <f t="shared" si="1"/>
        <v>ok</v>
      </c>
      <c r="J3" s="150" t="str">
        <f t="shared" si="1"/>
        <v>ok</v>
      </c>
      <c r="K3" s="150" t="str">
        <f t="shared" si="1"/>
        <v>ok</v>
      </c>
      <c r="L3" s="150" t="str">
        <f t="shared" si="1"/>
        <v>ok</v>
      </c>
      <c r="M3" s="150" t="str">
        <f t="shared" si="1"/>
        <v>ok</v>
      </c>
      <c r="N3" s="150" t="str">
        <f t="shared" si="1"/>
        <v>ok</v>
      </c>
      <c r="O3" s="150" t="str">
        <f t="shared" si="1"/>
        <v>ok</v>
      </c>
      <c r="P3" s="150" t="str">
        <f t="shared" si="1"/>
        <v>ok</v>
      </c>
    </row>
    <row r="4" spans="1:16" hidden="1" outlineLevel="1">
      <c r="A4" s="67" t="s">
        <v>156</v>
      </c>
      <c r="D4" s="120">
        <v>41274</v>
      </c>
      <c r="E4" s="119">
        <f>EOMONTH(D4,12)</f>
        <v>41639</v>
      </c>
      <c r="F4" s="119">
        <f t="shared" ref="F4:N4" si="2">EOMONTH(E4,12)</f>
        <v>42004</v>
      </c>
      <c r="G4" s="119">
        <f t="shared" si="2"/>
        <v>42369</v>
      </c>
      <c r="H4" s="119">
        <f t="shared" si="2"/>
        <v>42735</v>
      </c>
      <c r="I4" s="119">
        <f t="shared" si="2"/>
        <v>43100</v>
      </c>
      <c r="J4" s="119">
        <f t="shared" si="2"/>
        <v>43465</v>
      </c>
      <c r="K4" s="119">
        <f t="shared" si="2"/>
        <v>43830</v>
      </c>
      <c r="L4" s="119">
        <f t="shared" si="2"/>
        <v>44196</v>
      </c>
      <c r="M4" s="119">
        <f t="shared" si="2"/>
        <v>44561</v>
      </c>
      <c r="N4" s="119">
        <f t="shared" si="2"/>
        <v>44926</v>
      </c>
      <c r="O4" s="121">
        <f>'Deal Assumptions &amp; Analysis'!D11</f>
        <v>42840</v>
      </c>
      <c r="P4" s="119">
        <f>EOMONTH(O4,P6*12)</f>
        <v>43100</v>
      </c>
    </row>
    <row r="5" spans="1:16" hidden="1" outlineLevel="1">
      <c r="A5" s="67" t="s">
        <v>157</v>
      </c>
      <c r="D5" s="125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23">
        <f>O4-H4</f>
        <v>105</v>
      </c>
      <c r="P5" s="123">
        <f>P4-O4</f>
        <v>260</v>
      </c>
    </row>
    <row r="6" spans="1:16" hidden="1" outlineLevel="1">
      <c r="A6" s="67" t="s">
        <v>158</v>
      </c>
      <c r="D6" s="126">
        <v>1</v>
      </c>
      <c r="E6" s="122">
        <f>D6</f>
        <v>1</v>
      </c>
      <c r="F6" s="122">
        <f t="shared" ref="F6:N6" si="4">E6</f>
        <v>1</v>
      </c>
      <c r="G6" s="122">
        <f t="shared" si="4"/>
        <v>1</v>
      </c>
      <c r="H6" s="122">
        <f t="shared" si="4"/>
        <v>1</v>
      </c>
      <c r="I6" s="122">
        <f t="shared" si="4"/>
        <v>1</v>
      </c>
      <c r="J6" s="122">
        <f t="shared" si="4"/>
        <v>1</v>
      </c>
      <c r="K6" s="122">
        <f t="shared" si="4"/>
        <v>1</v>
      </c>
      <c r="L6" s="122">
        <f t="shared" si="4"/>
        <v>1</v>
      </c>
      <c r="M6" s="122">
        <f t="shared" si="4"/>
        <v>1</v>
      </c>
      <c r="N6" s="122">
        <f t="shared" si="4"/>
        <v>1</v>
      </c>
      <c r="O6" s="127">
        <f>ROUND((O4-H4)/365,2)</f>
        <v>0.28999999999999998</v>
      </c>
      <c r="P6" s="128">
        <f>N6-O6</f>
        <v>0.71</v>
      </c>
    </row>
    <row r="7" spans="1:16" collapsed="1"/>
    <row r="8" spans="1:16" ht="20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idden="1" outlineLevel="1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hidden="1" outlineLevel="1">
      <c r="D10" s="19"/>
      <c r="E10" s="19"/>
      <c r="F10" s="19"/>
      <c r="G10" s="15"/>
      <c r="H10" s="15" t="s">
        <v>13</v>
      </c>
      <c r="I10" s="130">
        <v>1</v>
      </c>
      <c r="J10" s="15"/>
      <c r="L10" s="20"/>
      <c r="M10" s="20"/>
      <c r="N10" s="20"/>
    </row>
    <row r="11" spans="1:16" hidden="1" outlineLevel="1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s="22" customFormat="1" hidden="1" outlineLevel="1">
      <c r="A12" s="21" t="s">
        <v>15</v>
      </c>
      <c r="C12" s="23"/>
      <c r="H12" s="24"/>
      <c r="I12" s="25"/>
      <c r="J12" s="25"/>
      <c r="K12" s="25"/>
      <c r="L12" s="25"/>
      <c r="M12" s="25"/>
      <c r="N12" s="25"/>
    </row>
    <row r="13" spans="1:16" hidden="1" outlineLevel="1">
      <c r="A13" s="26" t="s">
        <v>16</v>
      </c>
      <c r="B13" s="27"/>
      <c r="C13" s="28"/>
      <c r="D13" s="29"/>
      <c r="E13" s="30"/>
      <c r="F13" s="30"/>
      <c r="G13" s="30"/>
      <c r="H13" s="30"/>
      <c r="I13" s="31">
        <v>0.15</v>
      </c>
      <c r="J13" s="31">
        <v>0.15</v>
      </c>
      <c r="K13" s="31">
        <v>0.12</v>
      </c>
      <c r="L13" s="31">
        <v>0.1</v>
      </c>
      <c r="M13" s="31">
        <v>0.08</v>
      </c>
      <c r="N13" s="31">
        <v>0.06</v>
      </c>
      <c r="O13" s="31">
        <v>0.15</v>
      </c>
      <c r="P13" s="31">
        <v>0.15</v>
      </c>
    </row>
    <row r="14" spans="1:16" hidden="1" outlineLevel="1">
      <c r="A14" s="32" t="s">
        <v>17</v>
      </c>
      <c r="B14" s="32"/>
      <c r="C14" s="33"/>
      <c r="D14" s="34"/>
      <c r="E14" s="34"/>
      <c r="F14" s="34"/>
      <c r="G14" s="34"/>
      <c r="H14" s="34"/>
      <c r="I14" s="35">
        <v>0.42</v>
      </c>
      <c r="J14" s="35">
        <v>0.41</v>
      </c>
      <c r="K14" s="35">
        <v>0.4</v>
      </c>
      <c r="L14" s="35">
        <v>0.4</v>
      </c>
      <c r="M14" s="35">
        <v>0.4</v>
      </c>
      <c r="N14" s="35">
        <v>0.4</v>
      </c>
      <c r="O14" s="35">
        <v>0.42</v>
      </c>
      <c r="P14" s="35">
        <v>0.42</v>
      </c>
    </row>
    <row r="15" spans="1:16" hidden="1" outlineLevel="1">
      <c r="A15" s="32" t="s">
        <v>18</v>
      </c>
      <c r="B15" s="32"/>
      <c r="C15" s="33"/>
      <c r="D15" s="34"/>
      <c r="E15" s="34"/>
      <c r="F15" s="34"/>
      <c r="G15" s="34"/>
      <c r="H15" s="34"/>
      <c r="I15" s="35">
        <v>0.16</v>
      </c>
      <c r="J15" s="35">
        <v>0.16</v>
      </c>
      <c r="K15" s="35">
        <v>0.16</v>
      </c>
      <c r="L15" s="35">
        <v>0.16</v>
      </c>
      <c r="M15" s="35">
        <v>0.16</v>
      </c>
      <c r="N15" s="35">
        <v>0.16</v>
      </c>
      <c r="O15" s="35">
        <v>0.16</v>
      </c>
      <c r="P15" s="35">
        <v>0.16</v>
      </c>
    </row>
    <row r="16" spans="1:16" hidden="1" outlineLevel="1">
      <c r="A16" s="32" t="s">
        <v>19</v>
      </c>
      <c r="B16" s="32"/>
      <c r="C16" s="33"/>
      <c r="D16" s="36"/>
      <c r="E16" s="36"/>
      <c r="F16" s="36"/>
      <c r="G16" s="36"/>
      <c r="H16" s="36"/>
      <c r="I16" s="37">
        <v>7000</v>
      </c>
      <c r="J16" s="37">
        <v>7000</v>
      </c>
      <c r="K16" s="37">
        <v>7000</v>
      </c>
      <c r="L16" s="37">
        <v>7000</v>
      </c>
      <c r="M16" s="37">
        <v>7000</v>
      </c>
      <c r="N16" s="37">
        <v>7000</v>
      </c>
      <c r="O16" s="37">
        <v>7000</v>
      </c>
      <c r="P16" s="37">
        <v>7000</v>
      </c>
    </row>
    <row r="17" spans="1:16" hidden="1" outlineLevel="1">
      <c r="A17" s="32" t="s">
        <v>20</v>
      </c>
      <c r="B17" s="32"/>
      <c r="C17" s="33"/>
      <c r="D17" s="34"/>
      <c r="E17" s="34"/>
      <c r="F17" s="34"/>
      <c r="G17" s="34"/>
      <c r="H17" s="34"/>
      <c r="I17" s="35">
        <v>0.2</v>
      </c>
      <c r="J17" s="35">
        <v>0.2</v>
      </c>
      <c r="K17" s="35">
        <v>0.2</v>
      </c>
      <c r="L17" s="35">
        <v>0.2</v>
      </c>
      <c r="M17" s="35">
        <v>0.2</v>
      </c>
      <c r="N17" s="35">
        <v>0.2</v>
      </c>
      <c r="O17" s="35">
        <v>0.2</v>
      </c>
      <c r="P17" s="35">
        <v>0.2</v>
      </c>
    </row>
    <row r="18" spans="1:16" hidden="1" outlineLevel="1">
      <c r="A18" s="32" t="s">
        <v>21</v>
      </c>
      <c r="B18" s="32"/>
      <c r="C18" s="33"/>
      <c r="D18" s="34"/>
      <c r="E18" s="34"/>
      <c r="F18" s="34"/>
      <c r="G18" s="34"/>
      <c r="H18" s="34"/>
      <c r="I18" s="35">
        <v>0.08</v>
      </c>
      <c r="J18" s="35">
        <v>0.08</v>
      </c>
      <c r="K18" s="35">
        <v>0.08</v>
      </c>
      <c r="L18" s="35">
        <v>0.08</v>
      </c>
      <c r="M18" s="35">
        <v>0.08</v>
      </c>
      <c r="N18" s="35">
        <v>0.08</v>
      </c>
      <c r="O18" s="35">
        <v>0.08</v>
      </c>
      <c r="P18" s="35">
        <v>0.08</v>
      </c>
    </row>
    <row r="19" spans="1:16" hidden="1" outlineLevel="1">
      <c r="A19" s="32" t="s">
        <v>22</v>
      </c>
      <c r="B19" s="38"/>
      <c r="C19" s="39"/>
      <c r="D19" s="34"/>
      <c r="E19" s="34"/>
      <c r="F19" s="34"/>
      <c r="G19" s="34"/>
      <c r="H19" s="34"/>
      <c r="I19" s="35">
        <v>0.32</v>
      </c>
      <c r="J19" s="35">
        <v>0.32</v>
      </c>
      <c r="K19" s="35">
        <v>0.32</v>
      </c>
      <c r="L19" s="35">
        <v>0.32</v>
      </c>
      <c r="M19" s="35">
        <v>0.32</v>
      </c>
      <c r="N19" s="35">
        <v>0.32</v>
      </c>
      <c r="O19" s="35">
        <v>0.32</v>
      </c>
      <c r="P19" s="35">
        <v>0.32</v>
      </c>
    </row>
    <row r="20" spans="1:16" hidden="1" outlineLevel="1">
      <c r="A20" s="8" t="s">
        <v>23</v>
      </c>
      <c r="C20" s="40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hidden="1" outlineLevel="1">
      <c r="A21" s="8" t="s">
        <v>24</v>
      </c>
      <c r="C21" s="40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hidden="1" outlineLevel="1">
      <c r="A22" s="8" t="s">
        <v>25</v>
      </c>
      <c r="C22" s="40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hidden="1" outlineLevel="1">
      <c r="A23" s="8" t="s">
        <v>26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hidden="1" outlineLevel="1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hidden="1" outlineLevel="1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hidden="1" outlineLevel="1">
      <c r="A26" s="8" t="s">
        <v>209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hidden="1" outlineLevel="1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s="22" customFormat="1" hidden="1" outlineLevel="1">
      <c r="A28" s="21" t="s">
        <v>29</v>
      </c>
      <c r="C28" s="23"/>
      <c r="H28" s="24"/>
      <c r="I28" s="25"/>
      <c r="J28" s="25"/>
      <c r="K28" s="25"/>
      <c r="L28" s="25"/>
      <c r="M28" s="25"/>
      <c r="N28" s="25"/>
    </row>
    <row r="29" spans="1:16" hidden="1" outlineLevel="1">
      <c r="A29" s="26" t="s">
        <v>16</v>
      </c>
      <c r="B29" s="27"/>
      <c r="C29" s="28"/>
      <c r="D29" s="29"/>
      <c r="E29" s="30"/>
      <c r="F29" s="30"/>
      <c r="G29" s="30"/>
      <c r="H29" s="30"/>
      <c r="I29" s="31">
        <v>0.05</v>
      </c>
      <c r="J29" s="31">
        <v>4.4999999999999998E-2</v>
      </c>
      <c r="K29" s="31">
        <v>0.04</v>
      </c>
      <c r="L29" s="31">
        <v>3.5000000000000003E-2</v>
      </c>
      <c r="M29" s="31">
        <v>0.03</v>
      </c>
      <c r="N29" s="31">
        <v>0.03</v>
      </c>
      <c r="O29" s="31">
        <v>0.05</v>
      </c>
      <c r="P29" s="31">
        <v>0.05</v>
      </c>
    </row>
    <row r="30" spans="1:16" hidden="1" outlineLevel="1">
      <c r="A30" s="32" t="s">
        <v>17</v>
      </c>
      <c r="B30" s="32"/>
      <c r="C30" s="33"/>
      <c r="D30" s="34"/>
      <c r="E30" s="34"/>
      <c r="F30" s="34"/>
      <c r="G30" s="34"/>
      <c r="H30" s="34"/>
      <c r="I30" s="35">
        <v>0.37</v>
      </c>
      <c r="J30" s="35">
        <v>0.37</v>
      </c>
      <c r="K30" s="35">
        <v>0.36</v>
      </c>
      <c r="L30" s="35">
        <v>0.36</v>
      </c>
      <c r="M30" s="35">
        <v>0.35</v>
      </c>
      <c r="N30" s="35">
        <v>0.35</v>
      </c>
      <c r="O30" s="35">
        <v>0.37</v>
      </c>
      <c r="P30" s="35">
        <v>0.37</v>
      </c>
    </row>
    <row r="31" spans="1:16" hidden="1" outlineLevel="1">
      <c r="A31" s="32" t="s">
        <v>18</v>
      </c>
      <c r="B31" s="32"/>
      <c r="C31" s="33"/>
      <c r="D31" s="34"/>
      <c r="E31" s="34"/>
      <c r="F31" s="34"/>
      <c r="G31" s="34"/>
      <c r="H31" s="34"/>
      <c r="I31" s="35">
        <v>0.17</v>
      </c>
      <c r="J31" s="35">
        <v>0.17</v>
      </c>
      <c r="K31" s="35">
        <v>0.17</v>
      </c>
      <c r="L31" s="35">
        <v>0.17</v>
      </c>
      <c r="M31" s="35">
        <v>0.17</v>
      </c>
      <c r="N31" s="35">
        <v>0.17</v>
      </c>
      <c r="O31" s="35">
        <v>0.17</v>
      </c>
      <c r="P31" s="35">
        <v>0.17</v>
      </c>
    </row>
    <row r="32" spans="1:16" hidden="1" outlineLevel="1">
      <c r="A32" s="32" t="s">
        <v>19</v>
      </c>
      <c r="B32" s="32"/>
      <c r="C32" s="33"/>
      <c r="D32" s="36"/>
      <c r="E32" s="36"/>
      <c r="F32" s="36"/>
      <c r="G32" s="36"/>
      <c r="H32" s="36"/>
      <c r="I32" s="37">
        <v>10000</v>
      </c>
      <c r="J32" s="37">
        <v>10000</v>
      </c>
      <c r="K32" s="37">
        <v>10000</v>
      </c>
      <c r="L32" s="37">
        <v>10000</v>
      </c>
      <c r="M32" s="37">
        <v>10000</v>
      </c>
      <c r="N32" s="37">
        <v>10000</v>
      </c>
      <c r="O32" s="37">
        <v>10000</v>
      </c>
      <c r="P32" s="37">
        <v>10000</v>
      </c>
    </row>
    <row r="33" spans="1:16" hidden="1" outlineLevel="1">
      <c r="A33" s="32" t="s">
        <v>20</v>
      </c>
      <c r="B33" s="32"/>
      <c r="C33" s="33"/>
      <c r="D33" s="34"/>
      <c r="E33" s="34"/>
      <c r="F33" s="34"/>
      <c r="G33" s="34"/>
      <c r="H33" s="34"/>
      <c r="I33" s="35">
        <v>0.2</v>
      </c>
      <c r="J33" s="35">
        <v>0.2</v>
      </c>
      <c r="K33" s="35">
        <v>0.2</v>
      </c>
      <c r="L33" s="35">
        <v>0.2</v>
      </c>
      <c r="M33" s="35">
        <v>0.2</v>
      </c>
      <c r="N33" s="35">
        <v>0.2</v>
      </c>
      <c r="O33" s="35">
        <v>0.2</v>
      </c>
      <c r="P33" s="35">
        <v>0.2</v>
      </c>
    </row>
    <row r="34" spans="1:16" hidden="1" outlineLevel="1">
      <c r="A34" s="32" t="s">
        <v>21</v>
      </c>
      <c r="B34" s="32"/>
      <c r="C34" s="33"/>
      <c r="D34" s="34"/>
      <c r="E34" s="34"/>
      <c r="F34" s="34"/>
      <c r="G34" s="34"/>
      <c r="H34" s="34"/>
      <c r="I34" s="35">
        <v>0.05</v>
      </c>
      <c r="J34" s="35">
        <v>0.05</v>
      </c>
      <c r="K34" s="35">
        <v>0.05</v>
      </c>
      <c r="L34" s="35">
        <v>0.05</v>
      </c>
      <c r="M34" s="35">
        <v>0.05</v>
      </c>
      <c r="N34" s="35">
        <v>0.05</v>
      </c>
      <c r="O34" s="35">
        <v>0.05</v>
      </c>
      <c r="P34" s="35">
        <v>0.05</v>
      </c>
    </row>
    <row r="35" spans="1:16" hidden="1" outlineLevel="1">
      <c r="A35" s="32" t="s">
        <v>22</v>
      </c>
      <c r="B35" s="38"/>
      <c r="C35" s="39"/>
      <c r="D35" s="34"/>
      <c r="E35" s="34"/>
      <c r="F35" s="34"/>
      <c r="G35" s="34"/>
      <c r="H35" s="34"/>
      <c r="I35" s="35">
        <v>0.28000000000000003</v>
      </c>
      <c r="J35" s="35">
        <v>0.28000000000000003</v>
      </c>
      <c r="K35" s="35">
        <v>0.28000000000000003</v>
      </c>
      <c r="L35" s="35">
        <v>0.28000000000000003</v>
      </c>
      <c r="M35" s="35">
        <v>0.28000000000000003</v>
      </c>
      <c r="N35" s="35">
        <v>0.28000000000000003</v>
      </c>
      <c r="O35" s="35">
        <v>0.28000000000000003</v>
      </c>
      <c r="P35" s="35">
        <v>0.28000000000000003</v>
      </c>
    </row>
    <row r="36" spans="1:16" hidden="1" outlineLevel="1">
      <c r="A36" s="8" t="s">
        <v>23</v>
      </c>
      <c r="C36" s="40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hidden="1" outlineLevel="1">
      <c r="A37" s="8" t="s">
        <v>24</v>
      </c>
      <c r="C37" s="40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hidden="1" outlineLevel="1">
      <c r="A38" s="8" t="s">
        <v>25</v>
      </c>
      <c r="C38" s="40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hidden="1" outlineLevel="1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hidden="1" outlineLevel="1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hidden="1" outlineLevel="1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hidden="1" outlineLevel="1">
      <c r="A42" s="8" t="s">
        <v>209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hidden="1" outlineLevel="1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hidden="1" outlineLevel="1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hidden="1" outlineLevel="1">
      <c r="A45" s="26" t="s">
        <v>16</v>
      </c>
      <c r="B45" s="27"/>
      <c r="C45" s="28"/>
      <c r="D45" s="29"/>
      <c r="E45" s="30"/>
      <c r="F45" s="30"/>
      <c r="G45" s="30"/>
      <c r="H45" s="30"/>
      <c r="I45" s="30">
        <f t="shared" ref="I45:P58" si="5">CHOOSE($I$10,I13,I29)</f>
        <v>0.15</v>
      </c>
      <c r="J45" s="30">
        <f t="shared" si="5"/>
        <v>0.15</v>
      </c>
      <c r="K45" s="30">
        <f t="shared" si="5"/>
        <v>0.12</v>
      </c>
      <c r="L45" s="30">
        <f t="shared" si="5"/>
        <v>0.1</v>
      </c>
      <c r="M45" s="30">
        <f t="shared" si="5"/>
        <v>0.08</v>
      </c>
      <c r="N45" s="30">
        <f t="shared" si="5"/>
        <v>0.06</v>
      </c>
      <c r="O45" s="30">
        <f t="shared" si="5"/>
        <v>0.15</v>
      </c>
      <c r="P45" s="30">
        <f t="shared" si="5"/>
        <v>0.15</v>
      </c>
    </row>
    <row r="46" spans="1:16" hidden="1" outlineLevel="1">
      <c r="A46" s="32" t="s">
        <v>17</v>
      </c>
      <c r="B46" s="32"/>
      <c r="C46" s="33"/>
      <c r="D46" s="34"/>
      <c r="E46" s="34"/>
      <c r="F46" s="34"/>
      <c r="G46" s="34"/>
      <c r="H46" s="34"/>
      <c r="I46" s="34">
        <f t="shared" si="5"/>
        <v>0.42</v>
      </c>
      <c r="J46" s="34">
        <f t="shared" si="5"/>
        <v>0.41</v>
      </c>
      <c r="K46" s="34">
        <f t="shared" si="5"/>
        <v>0.4</v>
      </c>
      <c r="L46" s="34">
        <f t="shared" si="5"/>
        <v>0.4</v>
      </c>
      <c r="M46" s="34">
        <f t="shared" si="5"/>
        <v>0.4</v>
      </c>
      <c r="N46" s="34">
        <f t="shared" si="5"/>
        <v>0.4</v>
      </c>
      <c r="O46" s="34">
        <f t="shared" si="5"/>
        <v>0.42</v>
      </c>
      <c r="P46" s="34">
        <f t="shared" si="5"/>
        <v>0.42</v>
      </c>
    </row>
    <row r="47" spans="1:16" hidden="1" outlineLevel="1">
      <c r="A47" s="32" t="s">
        <v>184</v>
      </c>
      <c r="B47" s="32"/>
      <c r="C47" s="33"/>
      <c r="D47" s="34"/>
      <c r="E47" s="34"/>
      <c r="F47" s="34"/>
      <c r="G47" s="34"/>
      <c r="H47" s="34"/>
      <c r="I47" s="34">
        <f t="shared" si="5"/>
        <v>0.16</v>
      </c>
      <c r="J47" s="34">
        <f t="shared" si="5"/>
        <v>0.16</v>
      </c>
      <c r="K47" s="34">
        <f t="shared" si="5"/>
        <v>0.16</v>
      </c>
      <c r="L47" s="34">
        <f t="shared" si="5"/>
        <v>0.16</v>
      </c>
      <c r="M47" s="34">
        <f t="shared" si="5"/>
        <v>0.16</v>
      </c>
      <c r="N47" s="34">
        <f t="shared" si="5"/>
        <v>0.16</v>
      </c>
      <c r="O47" s="34">
        <f t="shared" si="5"/>
        <v>0.16</v>
      </c>
      <c r="P47" s="34">
        <f t="shared" si="5"/>
        <v>0.16</v>
      </c>
    </row>
    <row r="48" spans="1:16" hidden="1" outlineLevel="1">
      <c r="A48" s="32" t="s">
        <v>183</v>
      </c>
      <c r="B48" s="32"/>
      <c r="C48" s="33"/>
      <c r="D48" s="36"/>
      <c r="E48" s="36"/>
      <c r="F48" s="36"/>
      <c r="G48" s="36"/>
      <c r="H48" s="36"/>
      <c r="I48" s="36">
        <f t="shared" si="5"/>
        <v>7000</v>
      </c>
      <c r="J48" s="36">
        <f t="shared" si="5"/>
        <v>7000</v>
      </c>
      <c r="K48" s="36">
        <f t="shared" si="5"/>
        <v>7000</v>
      </c>
      <c r="L48" s="36">
        <f t="shared" si="5"/>
        <v>7000</v>
      </c>
      <c r="M48" s="36">
        <f t="shared" si="5"/>
        <v>7000</v>
      </c>
      <c r="N48" s="36">
        <f t="shared" si="5"/>
        <v>7000</v>
      </c>
      <c r="O48" s="36">
        <f t="shared" si="5"/>
        <v>7000</v>
      </c>
      <c r="P48" s="36">
        <f t="shared" si="5"/>
        <v>7000</v>
      </c>
    </row>
    <row r="49" spans="1:16" hidden="1" outlineLevel="1">
      <c r="A49" s="32" t="s">
        <v>20</v>
      </c>
      <c r="B49" s="32"/>
      <c r="C49" s="33"/>
      <c r="D49" s="34"/>
      <c r="E49" s="34"/>
      <c r="F49" s="34"/>
      <c r="G49" s="34"/>
      <c r="H49" s="34"/>
      <c r="I49" s="34">
        <f t="shared" si="5"/>
        <v>0.2</v>
      </c>
      <c r="J49" s="34">
        <f t="shared" si="5"/>
        <v>0.2</v>
      </c>
      <c r="K49" s="34">
        <f t="shared" si="5"/>
        <v>0.2</v>
      </c>
      <c r="L49" s="34">
        <f t="shared" si="5"/>
        <v>0.2</v>
      </c>
      <c r="M49" s="34">
        <f t="shared" si="5"/>
        <v>0.2</v>
      </c>
      <c r="N49" s="34">
        <f t="shared" si="5"/>
        <v>0.2</v>
      </c>
      <c r="O49" s="34">
        <f t="shared" si="5"/>
        <v>0.2</v>
      </c>
      <c r="P49" s="34">
        <f t="shared" si="5"/>
        <v>0.2</v>
      </c>
    </row>
    <row r="50" spans="1:16" hidden="1" outlineLevel="1">
      <c r="A50" s="32" t="s">
        <v>21</v>
      </c>
      <c r="B50" s="32"/>
      <c r="C50" s="33"/>
      <c r="D50" s="34"/>
      <c r="E50" s="34"/>
      <c r="F50" s="34"/>
      <c r="G50" s="34"/>
      <c r="H50" s="34"/>
      <c r="I50" s="34">
        <f t="shared" si="5"/>
        <v>0.08</v>
      </c>
      <c r="J50" s="34">
        <f t="shared" si="5"/>
        <v>0.08</v>
      </c>
      <c r="K50" s="34">
        <f t="shared" si="5"/>
        <v>0.08</v>
      </c>
      <c r="L50" s="34">
        <f t="shared" si="5"/>
        <v>0.08</v>
      </c>
      <c r="M50" s="34">
        <f t="shared" si="5"/>
        <v>0.08</v>
      </c>
      <c r="N50" s="34">
        <f t="shared" si="5"/>
        <v>0.08</v>
      </c>
      <c r="O50" s="34">
        <f t="shared" si="5"/>
        <v>0.08</v>
      </c>
      <c r="P50" s="34">
        <f t="shared" si="5"/>
        <v>0.08</v>
      </c>
    </row>
    <row r="51" spans="1:16" hidden="1" outlineLevel="1">
      <c r="A51" s="32" t="s">
        <v>22</v>
      </c>
      <c r="B51" s="38"/>
      <c r="C51" s="39"/>
      <c r="D51" s="34"/>
      <c r="E51" s="34"/>
      <c r="F51" s="34"/>
      <c r="G51" s="34"/>
      <c r="H51" s="34"/>
      <c r="I51" s="34">
        <f t="shared" si="5"/>
        <v>0.32</v>
      </c>
      <c r="J51" s="34">
        <f t="shared" si="5"/>
        <v>0.32</v>
      </c>
      <c r="K51" s="34">
        <f t="shared" si="5"/>
        <v>0.32</v>
      </c>
      <c r="L51" s="34">
        <f t="shared" si="5"/>
        <v>0.32</v>
      </c>
      <c r="M51" s="34">
        <f t="shared" si="5"/>
        <v>0.32</v>
      </c>
      <c r="N51" s="34">
        <f t="shared" si="5"/>
        <v>0.32</v>
      </c>
      <c r="O51" s="34">
        <f t="shared" si="5"/>
        <v>0.32</v>
      </c>
      <c r="P51" s="34">
        <f t="shared" si="5"/>
        <v>0.32</v>
      </c>
    </row>
    <row r="52" spans="1:16" hidden="1" outlineLevel="1">
      <c r="A52" s="8" t="s">
        <v>23</v>
      </c>
      <c r="C52" s="40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si="5"/>
        <v>22</v>
      </c>
      <c r="P52" s="19">
        <f t="shared" si="5"/>
        <v>22</v>
      </c>
    </row>
    <row r="53" spans="1:16" hidden="1" outlineLevel="1">
      <c r="A53" s="8" t="s">
        <v>24</v>
      </c>
      <c r="C53" s="40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si="5"/>
        <v>75</v>
      </c>
      <c r="P53" s="19">
        <f t="shared" si="5"/>
        <v>75</v>
      </c>
    </row>
    <row r="54" spans="1:16" hidden="1" outlineLevel="1">
      <c r="A54" s="8" t="s">
        <v>25</v>
      </c>
      <c r="C54" s="40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si="5"/>
        <v>39</v>
      </c>
      <c r="P54" s="19">
        <f t="shared" si="5"/>
        <v>39</v>
      </c>
    </row>
    <row r="55" spans="1:16" hidden="1" outlineLevel="1">
      <c r="A55" s="8" t="s">
        <v>26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si="5"/>
        <v>5750</v>
      </c>
      <c r="P55" s="19">
        <f t="shared" si="5"/>
        <v>5750</v>
      </c>
    </row>
    <row r="56" spans="1:16" hidden="1" outlineLevel="1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si="5"/>
        <v>0</v>
      </c>
      <c r="P56" s="19">
        <f t="shared" si="5"/>
        <v>0</v>
      </c>
    </row>
    <row r="57" spans="1:16" hidden="1" outlineLevel="1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si="5"/>
        <v>0</v>
      </c>
      <c r="P57" s="19">
        <f t="shared" si="5"/>
        <v>0</v>
      </c>
    </row>
    <row r="58" spans="1:16" hidden="1" outlineLevel="1">
      <c r="A58" s="8" t="s">
        <v>209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si="5"/>
        <v>0</v>
      </c>
      <c r="P58" s="19">
        <f t="shared" si="5"/>
        <v>0</v>
      </c>
    </row>
    <row r="59" spans="1:16" hidden="1" outlineLevel="1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collapsed="1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>
      <c r="A62" s="41"/>
      <c r="B62" s="41"/>
      <c r="C62" s="42"/>
      <c r="D62" s="43"/>
      <c r="E62" s="43"/>
      <c r="F62" s="43"/>
      <c r="G62" s="43"/>
      <c r="H62" s="43"/>
      <c r="I62" s="44"/>
      <c r="J62" s="44"/>
      <c r="K62" s="44"/>
      <c r="L62" s="44"/>
      <c r="M62" s="44"/>
      <c r="N62" s="44"/>
    </row>
    <row r="63" spans="1:16" outlineLevel="1">
      <c r="A63" s="21" t="s">
        <v>9</v>
      </c>
      <c r="B63" s="21"/>
      <c r="C63" s="45"/>
      <c r="D63" s="46">
        <v>57127.576164874547</v>
      </c>
      <c r="E63" s="46">
        <v>66132.392473118278</v>
      </c>
      <c r="F63" s="46">
        <v>73557.907706093189</v>
      </c>
      <c r="G63" s="46">
        <v>79716.06182795699</v>
      </c>
      <c r="H63" s="46">
        <v>84437.724014336913</v>
      </c>
      <c r="I63" s="47">
        <f t="shared" ref="I63:N63" si="6">H63*((1+I45))</f>
        <v>97103.382616487448</v>
      </c>
      <c r="J63" s="47">
        <f t="shared" si="6"/>
        <v>111668.89000896056</v>
      </c>
      <c r="K63" s="47">
        <f t="shared" si="6"/>
        <v>125069.15681003584</v>
      </c>
      <c r="L63" s="47">
        <f t="shared" si="6"/>
        <v>137576.07249103943</v>
      </c>
      <c r="M63" s="47">
        <f t="shared" si="6"/>
        <v>148582.15829032261</v>
      </c>
      <c r="N63" s="47">
        <f t="shared" si="6"/>
        <v>157497.08778774197</v>
      </c>
      <c r="O63" s="115">
        <f>I63*O$6</f>
        <v>28159.980958781358</v>
      </c>
      <c r="P63" s="115">
        <f>I63*P$6</f>
        <v>68943.401657706083</v>
      </c>
    </row>
    <row r="64" spans="1:16" outlineLevel="1">
      <c r="A64" s="32" t="s">
        <v>31</v>
      </c>
      <c r="B64" s="32"/>
      <c r="C64" s="33"/>
      <c r="D64" s="48">
        <v>21854.278673835124</v>
      </c>
      <c r="E64" s="48">
        <v>26883.960573476703</v>
      </c>
      <c r="F64" s="48">
        <v>27510.640681003584</v>
      </c>
      <c r="G64" s="48">
        <v>29488.127240143367</v>
      </c>
      <c r="H64" s="48">
        <v>31759.632616487455</v>
      </c>
      <c r="I64" s="49">
        <f t="shared" ref="I64:N64" si="7">I63*(I46)</f>
        <v>40783.420698924725</v>
      </c>
      <c r="J64" s="49">
        <f t="shared" si="7"/>
        <v>45784.244903673825</v>
      </c>
      <c r="K64" s="49">
        <f t="shared" si="7"/>
        <v>50027.662724014343</v>
      </c>
      <c r="L64" s="49">
        <f t="shared" si="7"/>
        <v>55030.42899641578</v>
      </c>
      <c r="M64" s="49">
        <f t="shared" si="7"/>
        <v>59432.863316129049</v>
      </c>
      <c r="N64" s="49">
        <f t="shared" si="7"/>
        <v>62998.835115096794</v>
      </c>
      <c r="O64" s="118">
        <f>I64*O$6</f>
        <v>11827.192002688169</v>
      </c>
      <c r="P64" s="8">
        <f>I64*P$6</f>
        <v>28956.228696236554</v>
      </c>
    </row>
    <row r="65" spans="1:16" outlineLevel="1">
      <c r="A65" s="27" t="s">
        <v>32</v>
      </c>
      <c r="B65" s="27"/>
      <c r="C65" s="28"/>
      <c r="D65" s="50">
        <f>D63-D64</f>
        <v>35273.297491039426</v>
      </c>
      <c r="E65" s="50">
        <f t="shared" ref="E65:M65" si="8">E63-E64</f>
        <v>39248.431899641575</v>
      </c>
      <c r="F65" s="50">
        <f t="shared" si="8"/>
        <v>46047.267025089604</v>
      </c>
      <c r="G65" s="50">
        <f t="shared" si="8"/>
        <v>50227.934587813623</v>
      </c>
      <c r="H65" s="50">
        <f t="shared" si="8"/>
        <v>52678.091397849457</v>
      </c>
      <c r="I65" s="50">
        <f t="shared" si="8"/>
        <v>56319.961917562723</v>
      </c>
      <c r="J65" s="50">
        <f t="shared" si="8"/>
        <v>65884.645105286734</v>
      </c>
      <c r="K65" s="50">
        <f t="shared" si="8"/>
        <v>75041.494086021499</v>
      </c>
      <c r="L65" s="50">
        <f t="shared" si="8"/>
        <v>82545.643494623655</v>
      </c>
      <c r="M65" s="50">
        <f t="shared" si="8"/>
        <v>89149.294974193559</v>
      </c>
      <c r="N65" s="50">
        <f>N63-N64</f>
        <v>94498.252672645176</v>
      </c>
      <c r="O65" s="50">
        <f t="shared" ref="O65:P65" si="9">O63-O64</f>
        <v>16332.788956093189</v>
      </c>
      <c r="P65" s="50">
        <f t="shared" si="9"/>
        <v>39987.172961469529</v>
      </c>
    </row>
    <row r="66" spans="1:16" outlineLevel="1">
      <c r="A66" s="41" t="s">
        <v>33</v>
      </c>
      <c r="B66" s="41"/>
      <c r="C66" s="42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</row>
    <row r="67" spans="1:16" outlineLevel="1">
      <c r="A67" s="32" t="s">
        <v>185</v>
      </c>
      <c r="D67" s="52">
        <v>14800.067204301075</v>
      </c>
      <c r="E67" s="52">
        <v>12689.292114695339</v>
      </c>
      <c r="F67" s="52">
        <v>13369.175627240144</v>
      </c>
      <c r="G67" s="52">
        <v>12881.944444444443</v>
      </c>
      <c r="H67" s="52">
        <v>14138.104838709676</v>
      </c>
      <c r="I67" s="53">
        <f t="shared" ref="I67:N67" si="10">I63*I47</f>
        <v>15536.541218637993</v>
      </c>
      <c r="J67" s="53">
        <f t="shared" si="10"/>
        <v>17867.022401433689</v>
      </c>
      <c r="K67" s="53">
        <f t="shared" si="10"/>
        <v>20011.065089605734</v>
      </c>
      <c r="L67" s="53">
        <f t="shared" si="10"/>
        <v>22012.17159856631</v>
      </c>
      <c r="M67" s="53">
        <f t="shared" si="10"/>
        <v>23773.145326451617</v>
      </c>
      <c r="N67" s="53">
        <f t="shared" si="10"/>
        <v>25199.534046038716</v>
      </c>
      <c r="O67" s="8">
        <f t="shared" ref="O67:O70" si="11">I67*O$6</f>
        <v>4505.5969534050173</v>
      </c>
      <c r="P67" s="8">
        <f t="shared" ref="P67:P70" si="12">I67*P$6</f>
        <v>11030.944265232974</v>
      </c>
    </row>
    <row r="68" spans="1:16" outlineLevel="1">
      <c r="A68" s="8" t="s">
        <v>182</v>
      </c>
      <c r="D68" s="52">
        <v>6139.6729390681003</v>
      </c>
      <c r="E68" s="52">
        <v>5670.3629032258059</v>
      </c>
      <c r="F68" s="52">
        <v>5649.0815412186375</v>
      </c>
      <c r="G68" s="52">
        <v>6171.5949820788528</v>
      </c>
      <c r="H68" s="52">
        <v>6391.1290322580644</v>
      </c>
      <c r="I68" s="53">
        <f t="shared" ref="I68:N68" si="13">I48</f>
        <v>7000</v>
      </c>
      <c r="J68" s="53">
        <f t="shared" si="13"/>
        <v>7000</v>
      </c>
      <c r="K68" s="53">
        <f t="shared" si="13"/>
        <v>7000</v>
      </c>
      <c r="L68" s="53">
        <f t="shared" si="13"/>
        <v>7000</v>
      </c>
      <c r="M68" s="53">
        <f t="shared" si="13"/>
        <v>7000</v>
      </c>
      <c r="N68" s="53">
        <f t="shared" si="13"/>
        <v>7000</v>
      </c>
      <c r="O68" s="8">
        <f t="shared" si="11"/>
        <v>2029.9999999999998</v>
      </c>
      <c r="P68" s="8">
        <f t="shared" si="12"/>
        <v>4970</v>
      </c>
    </row>
    <row r="69" spans="1:16" outlineLevel="1">
      <c r="A69" s="8" t="s">
        <v>34</v>
      </c>
      <c r="D69" s="52">
        <v>10920.698924731183</v>
      </c>
      <c r="E69" s="52">
        <v>10164.650537634408</v>
      </c>
      <c r="F69" s="52">
        <v>9635.4166666666661</v>
      </c>
      <c r="G69" s="52">
        <v>9264.9529569892475</v>
      </c>
      <c r="H69" s="52">
        <v>9005.6283602150525</v>
      </c>
      <c r="I69" s="53">
        <f t="shared" ref="I69:N69" si="14">+I141</f>
        <v>4202.6265681003588</v>
      </c>
      <c r="J69" s="53">
        <f t="shared" si="14"/>
        <v>4512.101254480287</v>
      </c>
      <c r="K69" s="53">
        <f t="shared" si="14"/>
        <v>4759.68100358423</v>
      </c>
      <c r="L69" s="53">
        <f t="shared" si="14"/>
        <v>4957.7448028673844</v>
      </c>
      <c r="M69" s="53">
        <f t="shared" si="14"/>
        <v>5116.1958422939078</v>
      </c>
      <c r="N69" s="53">
        <f t="shared" si="14"/>
        <v>5242.9566738351268</v>
      </c>
      <c r="O69" s="8">
        <f t="shared" si="11"/>
        <v>1218.761704749104</v>
      </c>
      <c r="P69" s="8">
        <f t="shared" si="12"/>
        <v>2983.8648633512544</v>
      </c>
    </row>
    <row r="70" spans="1:16" outlineLevel="1">
      <c r="A70" s="54" t="s">
        <v>35</v>
      </c>
      <c r="B70" s="54"/>
      <c r="C70" s="55"/>
      <c r="D70" s="56">
        <v>1400.089605734767</v>
      </c>
      <c r="E70" s="56">
        <v>1400.089605734767</v>
      </c>
      <c r="F70" s="56">
        <v>840.05376344086017</v>
      </c>
      <c r="G70" s="56">
        <v>840.05376344086017</v>
      </c>
      <c r="H70" s="56">
        <v>840.05376344086017</v>
      </c>
      <c r="I70" s="57">
        <f t="shared" ref="I70:N70" si="15">I148</f>
        <v>1344.0860215053763</v>
      </c>
      <c r="J70" s="57">
        <f t="shared" si="15"/>
        <v>1344.0860215053763</v>
      </c>
      <c r="K70" s="57">
        <f t="shared" si="15"/>
        <v>1344.0860215053763</v>
      </c>
      <c r="L70" s="57">
        <f t="shared" si="15"/>
        <v>1344.0860215053763</v>
      </c>
      <c r="M70" s="57">
        <f t="shared" si="15"/>
        <v>1344.0860215053763</v>
      </c>
      <c r="N70" s="57">
        <f t="shared" si="15"/>
        <v>544.08602150537627</v>
      </c>
      <c r="O70" s="8">
        <f t="shared" si="11"/>
        <v>389.78494623655911</v>
      </c>
      <c r="P70" s="8">
        <f t="shared" si="12"/>
        <v>954.30107526881704</v>
      </c>
    </row>
    <row r="71" spans="1:16" outlineLevel="1">
      <c r="A71" s="41" t="s">
        <v>36</v>
      </c>
      <c r="B71" s="32"/>
      <c r="C71" s="33"/>
      <c r="D71" s="44">
        <f t="shared" ref="D71:P71" si="16">SUM(D67:D70)</f>
        <v>33260.528673835121</v>
      </c>
      <c r="E71" s="44">
        <f t="shared" si="16"/>
        <v>29924.395161290322</v>
      </c>
      <c r="F71" s="44">
        <f t="shared" si="16"/>
        <v>29493.727598566307</v>
      </c>
      <c r="G71" s="44">
        <f t="shared" si="16"/>
        <v>29158.546146953406</v>
      </c>
      <c r="H71" s="44">
        <f t="shared" si="16"/>
        <v>30374.915994623654</v>
      </c>
      <c r="I71" s="44">
        <f t="shared" si="16"/>
        <v>28083.253808243724</v>
      </c>
      <c r="J71" s="44">
        <f t="shared" si="16"/>
        <v>30723.209677419352</v>
      </c>
      <c r="K71" s="44">
        <f t="shared" si="16"/>
        <v>33114.832114695339</v>
      </c>
      <c r="L71" s="44">
        <f t="shared" si="16"/>
        <v>35314.002422939069</v>
      </c>
      <c r="M71" s="44">
        <f t="shared" si="16"/>
        <v>37233.427190250899</v>
      </c>
      <c r="N71" s="44">
        <f t="shared" si="16"/>
        <v>37986.57674137922</v>
      </c>
      <c r="O71" s="66">
        <f t="shared" si="16"/>
        <v>8144.1436043906806</v>
      </c>
      <c r="P71" s="66">
        <f t="shared" si="16"/>
        <v>19939.110203853044</v>
      </c>
    </row>
    <row r="72" spans="1:16" outlineLevel="1">
      <c r="A72" s="27" t="s">
        <v>37</v>
      </c>
      <c r="B72" s="27"/>
      <c r="C72" s="28"/>
      <c r="D72" s="50">
        <f t="shared" ref="D72:P72" si="17">D65-D71</f>
        <v>2012.7688172043054</v>
      </c>
      <c r="E72" s="50">
        <f t="shared" si="17"/>
        <v>9324.036738351253</v>
      </c>
      <c r="F72" s="50">
        <f t="shared" si="17"/>
        <v>16553.539426523297</v>
      </c>
      <c r="G72" s="50">
        <f t="shared" si="17"/>
        <v>21069.388440860217</v>
      </c>
      <c r="H72" s="50">
        <f t="shared" si="17"/>
        <v>22303.175403225803</v>
      </c>
      <c r="I72" s="50">
        <f t="shared" si="17"/>
        <v>28236.708109318999</v>
      </c>
      <c r="J72" s="50">
        <f t="shared" si="17"/>
        <v>35161.435427867385</v>
      </c>
      <c r="K72" s="50">
        <f t="shared" si="17"/>
        <v>41926.661971326161</v>
      </c>
      <c r="L72" s="50">
        <f t="shared" si="17"/>
        <v>47231.641071684586</v>
      </c>
      <c r="M72" s="50">
        <f t="shared" si="17"/>
        <v>51915.86778394266</v>
      </c>
      <c r="N72" s="50">
        <f t="shared" si="17"/>
        <v>56511.675931265956</v>
      </c>
      <c r="O72" s="50">
        <f t="shared" si="17"/>
        <v>8188.6453517025084</v>
      </c>
      <c r="P72" s="50">
        <f t="shared" si="17"/>
        <v>20048.062757616484</v>
      </c>
    </row>
    <row r="73" spans="1:16" outlineLevel="1">
      <c r="A73" s="41"/>
      <c r="B73" s="41"/>
      <c r="C73" s="42"/>
      <c r="D73" s="43"/>
      <c r="E73" s="43"/>
      <c r="F73" s="43"/>
      <c r="G73" s="43"/>
      <c r="H73" s="43"/>
      <c r="I73" s="44"/>
      <c r="J73" s="44"/>
      <c r="K73" s="44"/>
      <c r="L73" s="44"/>
      <c r="M73" s="44"/>
      <c r="N73" s="44"/>
    </row>
    <row r="74" spans="1:16" outlineLevel="1">
      <c r="A74" s="32" t="s">
        <v>38</v>
      </c>
      <c r="B74" s="32"/>
      <c r="C74" s="33"/>
      <c r="D74" s="52">
        <v>1120.1708000000001</v>
      </c>
      <c r="E74" s="52">
        <v>4858.2165021220308</v>
      </c>
      <c r="F74" s="52">
        <v>8482.8061148686775</v>
      </c>
      <c r="G74" s="52">
        <v>10908.02097640469</v>
      </c>
      <c r="H74" s="52">
        <v>11597.665241419718</v>
      </c>
      <c r="I74" s="58">
        <f>IF(I72&gt;0,I72*I51,0)</f>
        <v>9035.7465949820798</v>
      </c>
      <c r="J74" s="58">
        <f t="shared" ref="J74:N74" si="18">IF(J72&gt;0,J72*J51,0)</f>
        <v>11251.659336917564</v>
      </c>
      <c r="K74" s="58">
        <f t="shared" si="18"/>
        <v>13416.531830824371</v>
      </c>
      <c r="L74" s="58">
        <f t="shared" si="18"/>
        <v>15114.125142939069</v>
      </c>
      <c r="M74" s="58">
        <f t="shared" si="18"/>
        <v>16613.07769086165</v>
      </c>
      <c r="N74" s="58">
        <f t="shared" si="18"/>
        <v>18083.736298005108</v>
      </c>
      <c r="O74" s="58">
        <f>I74*O$6</f>
        <v>2620.3665125448028</v>
      </c>
      <c r="P74" s="58">
        <f>I74*P$6</f>
        <v>6415.3800824372765</v>
      </c>
    </row>
    <row r="75" spans="1:16" ht="17" outlineLevel="1" thickBot="1">
      <c r="A75" s="59" t="s">
        <v>39</v>
      </c>
      <c r="B75" s="59"/>
      <c r="C75" s="60"/>
      <c r="D75" s="61">
        <f>D72-D74</f>
        <v>892.59801720430528</v>
      </c>
      <c r="E75" s="61">
        <f t="shared" ref="E75:M75" si="19">E72-E74</f>
        <v>4465.8202362292222</v>
      </c>
      <c r="F75" s="61">
        <f t="shared" si="19"/>
        <v>8070.7333116546197</v>
      </c>
      <c r="G75" s="61">
        <f t="shared" si="19"/>
        <v>10161.367464455527</v>
      </c>
      <c r="H75" s="61">
        <f t="shared" si="19"/>
        <v>10705.510161806085</v>
      </c>
      <c r="I75" s="61">
        <f t="shared" si="19"/>
        <v>19200.961514336919</v>
      </c>
      <c r="J75" s="61">
        <f t="shared" si="19"/>
        <v>23909.776090949821</v>
      </c>
      <c r="K75" s="61">
        <f t="shared" si="19"/>
        <v>28510.130140501788</v>
      </c>
      <c r="L75" s="61">
        <f t="shared" si="19"/>
        <v>32117.515928745517</v>
      </c>
      <c r="M75" s="61">
        <f t="shared" si="19"/>
        <v>35302.790093081014</v>
      </c>
      <c r="N75" s="61">
        <f>N72-N74</f>
        <v>38427.939633260845</v>
      </c>
      <c r="O75" s="61">
        <f t="shared" ref="O75:P75" si="20">O72-O74</f>
        <v>5568.2788391577051</v>
      </c>
      <c r="P75" s="61">
        <f t="shared" si="20"/>
        <v>13632.682675179207</v>
      </c>
    </row>
    <row r="76" spans="1:16" ht="17" outlineLevel="1" collapsed="1" thickTop="1">
      <c r="D76" s="52"/>
      <c r="E76" s="52"/>
      <c r="F76" s="52"/>
      <c r="G76" s="52"/>
      <c r="H76" s="52"/>
    </row>
    <row r="77" spans="1:16">
      <c r="D77" s="52"/>
      <c r="E77" s="52"/>
      <c r="F77" s="52"/>
      <c r="G77" s="52"/>
      <c r="H77" s="52"/>
    </row>
    <row r="78" spans="1:16" ht="20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idden="1" outlineLevel="1">
      <c r="D79" s="52"/>
      <c r="E79" s="52"/>
      <c r="F79" s="52"/>
      <c r="G79" s="52"/>
      <c r="H79" s="52"/>
    </row>
    <row r="80" spans="1:16" hidden="1" outlineLevel="1">
      <c r="A80" s="21" t="s">
        <v>41</v>
      </c>
      <c r="D80" s="52"/>
      <c r="E80" s="52"/>
      <c r="F80" s="52"/>
      <c r="G80" s="52"/>
      <c r="H80" s="52"/>
    </row>
    <row r="81" spans="1:16" hidden="1" outlineLevel="1">
      <c r="A81" s="8" t="s">
        <v>42</v>
      </c>
      <c r="C81" s="62"/>
      <c r="D81" s="52">
        <f t="shared" ref="D81:O81" si="21">D125</f>
        <v>37573.461592473119</v>
      </c>
      <c r="E81" s="52">
        <f t="shared" si="21"/>
        <v>42850.185726551805</v>
      </c>
      <c r="F81" s="52">
        <f t="shared" si="21"/>
        <v>40521.137452184921</v>
      </c>
      <c r="G81" s="52">
        <f t="shared" si="21"/>
        <v>51041.263877213925</v>
      </c>
      <c r="H81" s="52">
        <f t="shared" si="21"/>
        <v>61888.631117873054</v>
      </c>
      <c r="I81" s="8">
        <f t="shared" si="21"/>
        <v>77064.787668911507</v>
      </c>
      <c r="J81" s="8">
        <f t="shared" si="21"/>
        <v>99589.280702096323</v>
      </c>
      <c r="K81" s="8">
        <f t="shared" si="21"/>
        <v>126029.72789015052</v>
      </c>
      <c r="L81" s="8">
        <f t="shared" si="21"/>
        <v>156278.15245017194</v>
      </c>
      <c r="M81" s="8">
        <f t="shared" si="21"/>
        <v>189736.79305587453</v>
      </c>
      <c r="N81" s="8">
        <f t="shared" si="21"/>
        <v>216666.33671717218</v>
      </c>
      <c r="O81" s="8">
        <f t="shared" si="21"/>
        <v>64450.797379479132</v>
      </c>
      <c r="P81" s="8">
        <f>I81</f>
        <v>77064.787668911507</v>
      </c>
    </row>
    <row r="82" spans="1:16" hidden="1" outlineLevel="1">
      <c r="A82" s="8" t="s">
        <v>43</v>
      </c>
      <c r="C82" s="62"/>
      <c r="D82" s="52">
        <v>2856.3788082437277</v>
      </c>
      <c r="E82" s="52">
        <v>3306.619623655914</v>
      </c>
      <c r="F82" s="52">
        <v>3677.8953853046592</v>
      </c>
      <c r="G82" s="52">
        <v>3985.8030913978496</v>
      </c>
      <c r="H82" s="52">
        <v>4221.8862007168455</v>
      </c>
      <c r="I82" s="63">
        <f t="shared" ref="I82:N82" si="22">I63*I52/I5</f>
        <v>5852.8066234595181</v>
      </c>
      <c r="J82" s="63">
        <f t="shared" si="22"/>
        <v>5506.9589593460005</v>
      </c>
      <c r="K82" s="63">
        <f t="shared" si="22"/>
        <v>6167.7940344675217</v>
      </c>
      <c r="L82" s="63">
        <f t="shared" si="22"/>
        <v>6766.0363520183337</v>
      </c>
      <c r="M82" s="63">
        <f t="shared" si="22"/>
        <v>7327.3393129474161</v>
      </c>
      <c r="N82" s="63">
        <f t="shared" si="22"/>
        <v>7766.9796717242616</v>
      </c>
      <c r="O82" s="63">
        <f>O63*O52/O5</f>
        <v>5900.1864866018086</v>
      </c>
      <c r="P82" s="8">
        <f t="shared" ref="P82:P83" si="23">I82</f>
        <v>5852.8066234595181</v>
      </c>
    </row>
    <row r="83" spans="1:16" hidden="1" outlineLevel="1">
      <c r="A83" s="8" t="s">
        <v>44</v>
      </c>
      <c r="C83" s="62"/>
      <c r="D83" s="52">
        <v>4370.8557347670248</v>
      </c>
      <c r="E83" s="52">
        <v>5376.7921146953413</v>
      </c>
      <c r="F83" s="52">
        <v>5502.1281362007167</v>
      </c>
      <c r="G83" s="52">
        <v>5897.6254480286743</v>
      </c>
      <c r="H83" s="52">
        <v>6351.9265232974903</v>
      </c>
      <c r="I83" s="94">
        <f t="shared" ref="I83:O83" si="24">I64*I53/I5</f>
        <v>8380.1549381352179</v>
      </c>
      <c r="J83" s="94">
        <f t="shared" si="24"/>
        <v>9407.7215555494167</v>
      </c>
      <c r="K83" s="94">
        <f t="shared" si="24"/>
        <v>10279.656724112536</v>
      </c>
      <c r="L83" s="94">
        <f t="shared" si="24"/>
        <v>11276.72725336389</v>
      </c>
      <c r="M83" s="94">
        <f t="shared" si="24"/>
        <v>12212.232188245694</v>
      </c>
      <c r="N83" s="94">
        <f t="shared" si="24"/>
        <v>12944.966119540437</v>
      </c>
      <c r="O83" s="94">
        <f t="shared" si="24"/>
        <v>8447.9942876344066</v>
      </c>
      <c r="P83" s="8">
        <f t="shared" si="23"/>
        <v>8380.1549381352179</v>
      </c>
    </row>
    <row r="84" spans="1:16" hidden="1" outlineLevel="1">
      <c r="A84" s="27" t="s">
        <v>152</v>
      </c>
      <c r="B84" s="26"/>
      <c r="C84" s="116"/>
      <c r="D84" s="50">
        <f t="shared" ref="D84:P84" si="25">SUM(D81:D83)</f>
        <v>44800.696135483871</v>
      </c>
      <c r="E84" s="50">
        <f t="shared" si="25"/>
        <v>51533.597464903054</v>
      </c>
      <c r="F84" s="50">
        <f t="shared" si="25"/>
        <v>49701.160973690297</v>
      </c>
      <c r="G84" s="50">
        <f t="shared" si="25"/>
        <v>60924.69241664045</v>
      </c>
      <c r="H84" s="50">
        <f t="shared" si="25"/>
        <v>72462.443841887391</v>
      </c>
      <c r="I84" s="50">
        <f t="shared" si="25"/>
        <v>91297.749230506248</v>
      </c>
      <c r="J84" s="50">
        <f t="shared" si="25"/>
        <v>114503.96121699174</v>
      </c>
      <c r="K84" s="50">
        <f t="shared" si="25"/>
        <v>142477.17864873059</v>
      </c>
      <c r="L84" s="50">
        <f t="shared" si="25"/>
        <v>174320.91605555417</v>
      </c>
      <c r="M84" s="50">
        <f t="shared" si="25"/>
        <v>209276.36455706763</v>
      </c>
      <c r="N84" s="50">
        <f t="shared" si="25"/>
        <v>237378.28250843688</v>
      </c>
      <c r="O84" s="50">
        <f t="shared" si="25"/>
        <v>78798.978153715347</v>
      </c>
      <c r="P84" s="50">
        <f t="shared" si="25"/>
        <v>91297.749230506248</v>
      </c>
    </row>
    <row r="85" spans="1:16" hidden="1" outlineLevel="1">
      <c r="A85" s="8" t="s">
        <v>45</v>
      </c>
      <c r="D85" s="52">
        <v>25481.630824372758</v>
      </c>
      <c r="E85" s="52">
        <v>23717.517921146951</v>
      </c>
      <c r="F85" s="52">
        <v>22482.638888888887</v>
      </c>
      <c r="G85" s="52">
        <v>21618.223566308243</v>
      </c>
      <c r="H85" s="52">
        <v>21013.132840501792</v>
      </c>
      <c r="I85" s="8">
        <f t="shared" ref="I85:O85" si="26">I142</f>
        <v>22560.506272401435</v>
      </c>
      <c r="J85" s="8">
        <f t="shared" si="26"/>
        <v>23798.405017921148</v>
      </c>
      <c r="K85" s="8">
        <f t="shared" si="26"/>
        <v>24788.72401433692</v>
      </c>
      <c r="L85" s="8">
        <f t="shared" si="26"/>
        <v>25580.979211469537</v>
      </c>
      <c r="M85" s="8">
        <f t="shared" si="26"/>
        <v>26214.783369175631</v>
      </c>
      <c r="N85" s="8">
        <f t="shared" si="26"/>
        <v>26721.826695340504</v>
      </c>
      <c r="O85" s="8">
        <f t="shared" si="26"/>
        <v>21461.871135752688</v>
      </c>
      <c r="P85" s="8">
        <f>I85</f>
        <v>22560.506272401435</v>
      </c>
    </row>
    <row r="86" spans="1:16" hidden="1" outlineLevel="1">
      <c r="A86" s="8" t="s">
        <v>175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P86" s="8">
        <f>I86</f>
        <v>0</v>
      </c>
    </row>
    <row r="87" spans="1:16" ht="17" hidden="1" outlineLevel="1" thickBot="1">
      <c r="A87" s="59" t="s">
        <v>46</v>
      </c>
      <c r="B87" s="59"/>
      <c r="C87" s="60"/>
      <c r="D87" s="61">
        <f>SUM(D84:D86)</f>
        <v>70282.326959856626</v>
      </c>
      <c r="E87" s="61">
        <f t="shared" ref="E87:M87" si="27">SUM(E84:E86)</f>
        <v>75251.115386050005</v>
      </c>
      <c r="F87" s="61">
        <f t="shared" si="27"/>
        <v>72183.799862579181</v>
      </c>
      <c r="G87" s="61">
        <f t="shared" si="27"/>
        <v>82542.915982948689</v>
      </c>
      <c r="H87" s="61">
        <f t="shared" si="27"/>
        <v>93475.57668238919</v>
      </c>
      <c r="I87" s="61">
        <f t="shared" si="27"/>
        <v>113858.25550290768</v>
      </c>
      <c r="J87" s="61">
        <f t="shared" si="27"/>
        <v>138302.36623491289</v>
      </c>
      <c r="K87" s="61">
        <f t="shared" si="27"/>
        <v>167265.90266306751</v>
      </c>
      <c r="L87" s="61">
        <f t="shared" si="27"/>
        <v>199901.8952670237</v>
      </c>
      <c r="M87" s="61">
        <f t="shared" si="27"/>
        <v>235491.14792624325</v>
      </c>
      <c r="N87" s="61">
        <f>SUM(N84:N86)</f>
        <v>264100.10920377739</v>
      </c>
      <c r="O87" s="61">
        <f>SUM(O84:O86)</f>
        <v>100260.84928946804</v>
      </c>
      <c r="P87" s="61">
        <f t="shared" ref="P87" si="28">SUM(P84:P86)</f>
        <v>113858.25550290768</v>
      </c>
    </row>
    <row r="88" spans="1:16" ht="17" hidden="1" outlineLevel="1" thickTop="1">
      <c r="A88" s="41"/>
      <c r="B88" s="41"/>
      <c r="C88" s="42"/>
      <c r="D88" s="43"/>
      <c r="E88" s="43"/>
      <c r="F88" s="43"/>
      <c r="G88" s="43"/>
      <c r="H88" s="43"/>
      <c r="I88" s="41"/>
      <c r="J88" s="41"/>
      <c r="K88" s="41"/>
      <c r="L88" s="41"/>
      <c r="M88" s="41"/>
      <c r="N88" s="41"/>
      <c r="O88" s="41"/>
      <c r="P88" s="41"/>
    </row>
    <row r="89" spans="1:16" hidden="1" outlineLevel="1">
      <c r="A89" s="21" t="s">
        <v>47</v>
      </c>
      <c r="C89" s="62"/>
      <c r="D89" s="52"/>
      <c r="E89" s="52"/>
      <c r="F89" s="52"/>
      <c r="G89" s="52"/>
      <c r="H89" s="52"/>
    </row>
    <row r="90" spans="1:16" hidden="1" outlineLevel="1">
      <c r="A90" s="8" t="s">
        <v>153</v>
      </c>
      <c r="C90" s="62"/>
      <c r="D90" s="52">
        <v>0</v>
      </c>
      <c r="E90" s="52">
        <v>0</v>
      </c>
      <c r="F90" s="52">
        <v>0</v>
      </c>
      <c r="G90" s="52">
        <v>0</v>
      </c>
      <c r="H90" s="52">
        <v>0</v>
      </c>
      <c r="P90" s="8">
        <f t="shared" ref="P90:P91" si="29">I90</f>
        <v>0</v>
      </c>
    </row>
    <row r="91" spans="1:16" hidden="1" outlineLevel="1">
      <c r="A91" s="8" t="s">
        <v>48</v>
      </c>
      <c r="C91" s="62"/>
      <c r="D91" s="52">
        <v>2185.4278673835124</v>
      </c>
      <c r="E91" s="52">
        <v>2688.3960573476706</v>
      </c>
      <c r="F91" s="52">
        <v>2751.0640681003583</v>
      </c>
      <c r="G91" s="52">
        <v>2948.8127240143372</v>
      </c>
      <c r="H91" s="52">
        <v>3175.9632616487452</v>
      </c>
      <c r="I91" s="94">
        <f t="shared" ref="I91:O91" si="30">I64*I54/I5</f>
        <v>4357.6805678303126</v>
      </c>
      <c r="J91" s="94">
        <f t="shared" si="30"/>
        <v>4892.0152088856967</v>
      </c>
      <c r="K91" s="94">
        <f t="shared" si="30"/>
        <v>5345.421496538519</v>
      </c>
      <c r="L91" s="94">
        <f t="shared" si="30"/>
        <v>5863.8981717492234</v>
      </c>
      <c r="M91" s="94">
        <f t="shared" si="30"/>
        <v>6350.3607378877614</v>
      </c>
      <c r="N91" s="94">
        <f t="shared" si="30"/>
        <v>6731.3823821610276</v>
      </c>
      <c r="O91" s="94">
        <f t="shared" si="30"/>
        <v>4392.9570295698913</v>
      </c>
      <c r="P91" s="8">
        <f t="shared" si="29"/>
        <v>4357.6805678303126</v>
      </c>
    </row>
    <row r="92" spans="1:16" s="21" customFormat="1" hidden="1" outlineLevel="1">
      <c r="A92" s="27" t="s">
        <v>155</v>
      </c>
      <c r="B92" s="27"/>
      <c r="C92" s="294"/>
      <c r="D92" s="50">
        <f t="shared" ref="D92:P92" si="31">SUM(D90:D91)</f>
        <v>2185.4278673835124</v>
      </c>
      <c r="E92" s="50">
        <f t="shared" si="31"/>
        <v>2688.3960573476706</v>
      </c>
      <c r="F92" s="50">
        <f t="shared" si="31"/>
        <v>2751.0640681003583</v>
      </c>
      <c r="G92" s="50">
        <f t="shared" si="31"/>
        <v>2948.8127240143372</v>
      </c>
      <c r="H92" s="50">
        <f t="shared" si="31"/>
        <v>3175.9632616487452</v>
      </c>
      <c r="I92" s="50">
        <f t="shared" si="31"/>
        <v>4357.6805678303126</v>
      </c>
      <c r="J92" s="50">
        <f t="shared" si="31"/>
        <v>4892.0152088856967</v>
      </c>
      <c r="K92" s="50">
        <f t="shared" si="31"/>
        <v>5345.421496538519</v>
      </c>
      <c r="L92" s="50">
        <f t="shared" si="31"/>
        <v>5863.8981717492234</v>
      </c>
      <c r="M92" s="50">
        <f t="shared" si="31"/>
        <v>6350.3607378877614</v>
      </c>
      <c r="N92" s="50">
        <f t="shared" si="31"/>
        <v>6731.3823821610276</v>
      </c>
      <c r="O92" s="50">
        <f t="shared" si="31"/>
        <v>4392.9570295698913</v>
      </c>
      <c r="P92" s="50">
        <f t="shared" si="31"/>
        <v>4357.6805678303126</v>
      </c>
    </row>
    <row r="93" spans="1:16" hidden="1" outlineLevel="1">
      <c r="A93" s="8" t="s">
        <v>154</v>
      </c>
      <c r="D93" s="52">
        <v>28001.792114695338</v>
      </c>
      <c r="E93" s="52">
        <v>28001.792114695338</v>
      </c>
      <c r="F93" s="52">
        <v>16801.075268817203</v>
      </c>
      <c r="G93" s="52">
        <v>16801.075268817203</v>
      </c>
      <c r="H93" s="52">
        <v>16801.075268817203</v>
      </c>
      <c r="I93" s="8">
        <f t="shared" ref="I93:O93" si="32">I147</f>
        <v>16801.075268817203</v>
      </c>
      <c r="J93" s="8">
        <f t="shared" si="32"/>
        <v>16801.075268817203</v>
      </c>
      <c r="K93" s="8">
        <f t="shared" si="32"/>
        <v>16801.075268817203</v>
      </c>
      <c r="L93" s="8">
        <f t="shared" si="32"/>
        <v>16801.075268817203</v>
      </c>
      <c r="M93" s="8">
        <f t="shared" si="32"/>
        <v>16801.075268817203</v>
      </c>
      <c r="N93" s="8">
        <f t="shared" si="32"/>
        <v>6801.0752688172033</v>
      </c>
      <c r="O93" s="8">
        <f t="shared" si="32"/>
        <v>16801.075268817203</v>
      </c>
      <c r="P93" s="8">
        <f>I93</f>
        <v>16801.075268817203</v>
      </c>
    </row>
    <row r="94" spans="1:16" hidden="1" outlineLevel="1">
      <c r="A94" s="27" t="s">
        <v>49</v>
      </c>
      <c r="B94" s="27"/>
      <c r="C94" s="28"/>
      <c r="D94" s="50">
        <f t="shared" ref="D94:P94" si="33">SUM(D92:D93)</f>
        <v>30187.219982078852</v>
      </c>
      <c r="E94" s="50">
        <f t="shared" si="33"/>
        <v>30690.18817204301</v>
      </c>
      <c r="F94" s="50">
        <f t="shared" si="33"/>
        <v>19552.13933691756</v>
      </c>
      <c r="G94" s="50">
        <f t="shared" si="33"/>
        <v>19749.88799283154</v>
      </c>
      <c r="H94" s="50">
        <f t="shared" si="33"/>
        <v>19977.03853046595</v>
      </c>
      <c r="I94" s="50">
        <f t="shared" si="33"/>
        <v>21158.755836647517</v>
      </c>
      <c r="J94" s="50">
        <f t="shared" si="33"/>
        <v>21693.090477702899</v>
      </c>
      <c r="K94" s="50">
        <f t="shared" si="33"/>
        <v>22146.496765355721</v>
      </c>
      <c r="L94" s="50">
        <f t="shared" si="33"/>
        <v>22664.973440566428</v>
      </c>
      <c r="M94" s="50">
        <f t="shared" si="33"/>
        <v>23151.436006704964</v>
      </c>
      <c r="N94" s="50">
        <f t="shared" si="33"/>
        <v>13532.457650978231</v>
      </c>
      <c r="O94" s="50">
        <f t="shared" si="33"/>
        <v>21194.032298387094</v>
      </c>
      <c r="P94" s="50">
        <f t="shared" si="33"/>
        <v>21158.755836647517</v>
      </c>
    </row>
    <row r="95" spans="1:16" hidden="1" outlineLevel="1">
      <c r="A95" s="21" t="s">
        <v>50</v>
      </c>
      <c r="D95" s="52"/>
      <c r="E95" s="52"/>
      <c r="F95" s="52"/>
      <c r="G95" s="52"/>
      <c r="H95" s="52"/>
    </row>
    <row r="96" spans="1:16" hidden="1" outlineLevel="1">
      <c r="A96" s="8" t="s">
        <v>51</v>
      </c>
      <c r="D96" s="52">
        <v>39202.508960573476</v>
      </c>
      <c r="E96" s="52">
        <v>39202.508960573476</v>
      </c>
      <c r="F96" s="52">
        <v>39202.508960573476</v>
      </c>
      <c r="G96" s="52">
        <v>39202.508960573476</v>
      </c>
      <c r="H96" s="52">
        <v>39202.508960573476</v>
      </c>
      <c r="I96" s="8">
        <f t="shared" ref="I96:N96" si="34">H96+I57</f>
        <v>39202.508960573476</v>
      </c>
      <c r="J96" s="8">
        <f t="shared" si="34"/>
        <v>39202.508960573476</v>
      </c>
      <c r="K96" s="8">
        <f t="shared" si="34"/>
        <v>39202.508960573476</v>
      </c>
      <c r="L96" s="8">
        <f t="shared" si="34"/>
        <v>39202.508960573476</v>
      </c>
      <c r="M96" s="8">
        <f t="shared" si="34"/>
        <v>39202.508960573476</v>
      </c>
      <c r="N96" s="8">
        <f t="shared" si="34"/>
        <v>39202.508960573476</v>
      </c>
      <c r="O96" s="8">
        <f>H96+O57</f>
        <v>39202.508960573476</v>
      </c>
      <c r="P96" s="8">
        <f>I96</f>
        <v>39202.508960573476</v>
      </c>
    </row>
    <row r="97" spans="1:16" hidden="1" outlineLevel="1">
      <c r="A97" s="8" t="s">
        <v>52</v>
      </c>
      <c r="D97" s="52">
        <v>892.59801720429687</v>
      </c>
      <c r="E97" s="75">
        <f>+D97+E107</f>
        <v>5358.4182534335196</v>
      </c>
      <c r="F97" s="75">
        <f>+E97+F107</f>
        <v>13429.151565088139</v>
      </c>
      <c r="G97" s="75">
        <f>+F97+G107</f>
        <v>23590.519029543666</v>
      </c>
      <c r="H97" s="75">
        <f>+G97+H107</f>
        <v>34296.029191349749</v>
      </c>
      <c r="I97" s="8">
        <f>+H97+I75-I58</f>
        <v>53496.990705686665</v>
      </c>
      <c r="J97" s="8">
        <f t="shared" ref="J97:N97" si="35">+I97+J75-J58</f>
        <v>77406.766796636482</v>
      </c>
      <c r="K97" s="8">
        <f t="shared" si="35"/>
        <v>105916.89693713827</v>
      </c>
      <c r="L97" s="8">
        <f t="shared" si="35"/>
        <v>138034.41286588379</v>
      </c>
      <c r="M97" s="8">
        <f t="shared" si="35"/>
        <v>173137.2029589648</v>
      </c>
      <c r="N97" s="8">
        <f t="shared" si="35"/>
        <v>211365.14259222563</v>
      </c>
      <c r="O97" s="8">
        <f>+H97+O75-O58</f>
        <v>39864.308030507455</v>
      </c>
      <c r="P97" s="8">
        <f>I97</f>
        <v>53496.990705686665</v>
      </c>
    </row>
    <row r="98" spans="1:16" hidden="1" outlineLevel="1">
      <c r="A98" s="64" t="s">
        <v>50</v>
      </c>
      <c r="B98" s="64"/>
      <c r="C98" s="65"/>
      <c r="D98" s="66">
        <f t="shared" ref="D98:P98" si="36">SUM(D96:D97)</f>
        <v>40095.106977777774</v>
      </c>
      <c r="E98" s="66">
        <f t="shared" si="36"/>
        <v>44560.927214006995</v>
      </c>
      <c r="F98" s="66">
        <f t="shared" si="36"/>
        <v>52631.660525661617</v>
      </c>
      <c r="G98" s="66">
        <f t="shared" si="36"/>
        <v>62793.027990117145</v>
      </c>
      <c r="H98" s="66">
        <f t="shared" si="36"/>
        <v>73498.538151923218</v>
      </c>
      <c r="I98" s="64">
        <f t="shared" si="36"/>
        <v>92699.499666260148</v>
      </c>
      <c r="J98" s="64">
        <f t="shared" si="36"/>
        <v>116609.27575720995</v>
      </c>
      <c r="K98" s="64">
        <f t="shared" si="36"/>
        <v>145119.40589771175</v>
      </c>
      <c r="L98" s="64">
        <f t="shared" si="36"/>
        <v>177236.92182645726</v>
      </c>
      <c r="M98" s="64">
        <f t="shared" si="36"/>
        <v>212339.71191953827</v>
      </c>
      <c r="N98" s="64">
        <f t="shared" si="36"/>
        <v>250567.6515527991</v>
      </c>
      <c r="O98" s="64">
        <f t="shared" si="36"/>
        <v>79066.816991080937</v>
      </c>
      <c r="P98" s="64">
        <f t="shared" si="36"/>
        <v>92699.499666260148</v>
      </c>
    </row>
    <row r="99" spans="1:16" ht="17" hidden="1" outlineLevel="1" thickBot="1">
      <c r="A99" s="59" t="s">
        <v>53</v>
      </c>
      <c r="B99" s="59"/>
      <c r="C99" s="60"/>
      <c r="D99" s="61">
        <f>D94+D98</f>
        <v>70282.326959856626</v>
      </c>
      <c r="E99" s="61">
        <f>E94+E98</f>
        <v>75251.115386050005</v>
      </c>
      <c r="F99" s="61">
        <f>F94+F98</f>
        <v>72183.799862579181</v>
      </c>
      <c r="G99" s="61">
        <f>G94+G98</f>
        <v>82542.915982948689</v>
      </c>
      <c r="H99" s="61">
        <f>H94+H98</f>
        <v>93475.576682389161</v>
      </c>
      <c r="I99" s="59">
        <f t="shared" ref="I99:P99" si="37">I98+I94</f>
        <v>113858.25550290766</v>
      </c>
      <c r="J99" s="59">
        <f t="shared" si="37"/>
        <v>138302.36623491286</v>
      </c>
      <c r="K99" s="59">
        <f t="shared" si="37"/>
        <v>167265.90266306748</v>
      </c>
      <c r="L99" s="59">
        <f t="shared" si="37"/>
        <v>199901.89526702368</v>
      </c>
      <c r="M99" s="59">
        <f t="shared" si="37"/>
        <v>235491.14792624323</v>
      </c>
      <c r="N99" s="59">
        <f t="shared" si="37"/>
        <v>264100.10920377733</v>
      </c>
      <c r="O99" s="59">
        <f t="shared" si="37"/>
        <v>100260.84928946802</v>
      </c>
      <c r="P99" s="59">
        <f t="shared" si="37"/>
        <v>113858.25550290766</v>
      </c>
    </row>
    <row r="100" spans="1:16" ht="17" hidden="1" outlineLevel="1" thickTop="1">
      <c r="D100" s="52"/>
      <c r="E100" s="52"/>
      <c r="F100" s="52"/>
      <c r="G100" s="52"/>
      <c r="H100" s="52"/>
    </row>
    <row r="101" spans="1:16" hidden="1" outlineLevel="1">
      <c r="A101" s="67" t="s">
        <v>54</v>
      </c>
      <c r="B101" s="68"/>
      <c r="C101" s="69"/>
      <c r="D101" s="68">
        <f t="shared" ref="D101:M101" si="38">D99-D87</f>
        <v>0</v>
      </c>
      <c r="E101" s="68">
        <f t="shared" si="38"/>
        <v>0</v>
      </c>
      <c r="F101" s="68">
        <f t="shared" si="38"/>
        <v>0</v>
      </c>
      <c r="G101" s="68">
        <f t="shared" si="38"/>
        <v>0</v>
      </c>
      <c r="H101" s="68">
        <f t="shared" si="38"/>
        <v>0</v>
      </c>
      <c r="I101" s="68">
        <f t="shared" si="38"/>
        <v>0</v>
      </c>
      <c r="J101" s="68">
        <f t="shared" si="38"/>
        <v>0</v>
      </c>
      <c r="K101" s="68">
        <f t="shared" si="38"/>
        <v>0</v>
      </c>
      <c r="L101" s="68">
        <f t="shared" si="38"/>
        <v>0</v>
      </c>
      <c r="M101" s="68">
        <f t="shared" si="38"/>
        <v>0</v>
      </c>
      <c r="N101" s="68">
        <f>N99-N87</f>
        <v>0</v>
      </c>
      <c r="O101" s="68">
        <f>O99-O87</f>
        <v>0</v>
      </c>
      <c r="P101" s="68">
        <f>P99-P87</f>
        <v>0</v>
      </c>
    </row>
    <row r="102" spans="1:16" hidden="1" outlineLevel="1">
      <c r="A102" s="68"/>
      <c r="B102" s="68"/>
      <c r="C102" s="69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6" collapsed="1">
      <c r="D103" s="52"/>
      <c r="E103" s="52"/>
      <c r="F103" s="52"/>
      <c r="G103" s="52"/>
      <c r="H103" s="52"/>
    </row>
    <row r="104" spans="1:16" ht="20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>
      <c r="A105" s="21"/>
      <c r="D105" s="43"/>
      <c r="E105" s="52"/>
      <c r="F105" s="52"/>
      <c r="G105" s="52"/>
      <c r="H105" s="52"/>
    </row>
    <row r="106" spans="1:16" outlineLevel="1">
      <c r="A106" s="21" t="s">
        <v>56</v>
      </c>
      <c r="D106" s="52"/>
      <c r="E106" s="52"/>
      <c r="F106" s="52"/>
      <c r="G106" s="52"/>
      <c r="H106" s="52"/>
    </row>
    <row r="107" spans="1:16" outlineLevel="1">
      <c r="A107" s="8" t="s">
        <v>39</v>
      </c>
      <c r="D107" s="8">
        <f t="shared" ref="D107:P107" si="39">D75</f>
        <v>892.59801720430528</v>
      </c>
      <c r="E107" s="8">
        <f t="shared" si="39"/>
        <v>4465.8202362292222</v>
      </c>
      <c r="F107" s="8">
        <f t="shared" si="39"/>
        <v>8070.7333116546197</v>
      </c>
      <c r="G107" s="8">
        <f t="shared" si="39"/>
        <v>10161.367464455527</v>
      </c>
      <c r="H107" s="8">
        <f t="shared" si="39"/>
        <v>10705.510161806085</v>
      </c>
      <c r="I107" s="8">
        <f t="shared" si="39"/>
        <v>19200.961514336919</v>
      </c>
      <c r="J107" s="8">
        <f t="shared" si="39"/>
        <v>23909.776090949821</v>
      </c>
      <c r="K107" s="8">
        <f t="shared" si="39"/>
        <v>28510.130140501788</v>
      </c>
      <c r="L107" s="8">
        <f t="shared" si="39"/>
        <v>32117.515928745517</v>
      </c>
      <c r="M107" s="8">
        <f t="shared" si="39"/>
        <v>35302.790093081014</v>
      </c>
      <c r="N107" s="8">
        <f t="shared" si="39"/>
        <v>38427.939633260845</v>
      </c>
      <c r="O107" s="8">
        <f t="shared" si="39"/>
        <v>5568.2788391577051</v>
      </c>
      <c r="P107" s="8">
        <f t="shared" si="39"/>
        <v>13632.682675179207</v>
      </c>
    </row>
    <row r="108" spans="1:16" outlineLevel="1">
      <c r="A108" s="8" t="s">
        <v>57</v>
      </c>
      <c r="D108" s="8">
        <f t="shared" ref="D108:P108" si="40">D69</f>
        <v>10920.698924731183</v>
      </c>
      <c r="E108" s="8">
        <f t="shared" si="40"/>
        <v>10164.650537634408</v>
      </c>
      <c r="F108" s="8">
        <f t="shared" si="40"/>
        <v>9635.4166666666661</v>
      </c>
      <c r="G108" s="8">
        <f t="shared" si="40"/>
        <v>9264.9529569892475</v>
      </c>
      <c r="H108" s="8">
        <f t="shared" si="40"/>
        <v>9005.6283602150525</v>
      </c>
      <c r="I108" s="8">
        <f t="shared" si="40"/>
        <v>4202.6265681003588</v>
      </c>
      <c r="J108" s="8">
        <f t="shared" si="40"/>
        <v>4512.101254480287</v>
      </c>
      <c r="K108" s="8">
        <f t="shared" si="40"/>
        <v>4759.68100358423</v>
      </c>
      <c r="L108" s="8">
        <f t="shared" si="40"/>
        <v>4957.7448028673844</v>
      </c>
      <c r="M108" s="8">
        <f t="shared" si="40"/>
        <v>5116.1958422939078</v>
      </c>
      <c r="N108" s="8">
        <f t="shared" si="40"/>
        <v>5242.9566738351268</v>
      </c>
      <c r="O108" s="8">
        <f t="shared" si="40"/>
        <v>1218.761704749104</v>
      </c>
      <c r="P108" s="8">
        <f t="shared" si="40"/>
        <v>2983.8648633512544</v>
      </c>
    </row>
    <row r="109" spans="1:16" outlineLevel="1">
      <c r="A109" s="8" t="s">
        <v>58</v>
      </c>
      <c r="D109" s="52">
        <v>5041.806675627241</v>
      </c>
      <c r="E109" s="8">
        <f t="shared" ref="E109:P109" si="41">E136</f>
        <v>953.20900537634407</v>
      </c>
      <c r="F109" s="8">
        <f t="shared" si="41"/>
        <v>433.94377240143331</v>
      </c>
      <c r="G109" s="8">
        <f t="shared" si="41"/>
        <v>505.65636200717017</v>
      </c>
      <c r="H109" s="8">
        <f t="shared" si="41"/>
        <v>463.23364695340388</v>
      </c>
      <c r="I109" s="8">
        <f t="shared" si="41"/>
        <v>2477.4315313988318</v>
      </c>
      <c r="J109" s="8">
        <f t="shared" si="41"/>
        <v>147.38431224529631</v>
      </c>
      <c r="K109" s="8">
        <f t="shared" si="41"/>
        <v>1079.3639560318188</v>
      </c>
      <c r="L109" s="8">
        <f t="shared" si="41"/>
        <v>1076.8361715914616</v>
      </c>
      <c r="M109" s="8">
        <f t="shared" si="41"/>
        <v>1010.3453296723492</v>
      </c>
      <c r="N109" s="8">
        <f t="shared" si="41"/>
        <v>791.35264579832074</v>
      </c>
      <c r="O109" s="8">
        <f t="shared" si="41"/>
        <v>2557.3742823007324</v>
      </c>
      <c r="P109" s="8">
        <f t="shared" si="41"/>
        <v>-79.942750901900581</v>
      </c>
    </row>
    <row r="110" spans="1:16" outlineLevel="1">
      <c r="A110" s="27" t="s">
        <v>59</v>
      </c>
      <c r="B110" s="26"/>
      <c r="C110" s="70"/>
      <c r="D110" s="50">
        <f t="shared" ref="D110:P110" si="42">D107+D108-D109</f>
        <v>6771.4902663082476</v>
      </c>
      <c r="E110" s="50">
        <f t="shared" si="42"/>
        <v>13677.261768487288</v>
      </c>
      <c r="F110" s="50">
        <f t="shared" si="42"/>
        <v>17272.206205919851</v>
      </c>
      <c r="G110" s="50">
        <f t="shared" si="42"/>
        <v>18920.664059437608</v>
      </c>
      <c r="H110" s="50">
        <f t="shared" si="42"/>
        <v>19247.904875067732</v>
      </c>
      <c r="I110" s="50">
        <f t="shared" si="42"/>
        <v>20926.156551038446</v>
      </c>
      <c r="J110" s="50">
        <f t="shared" si="42"/>
        <v>28274.493033184812</v>
      </c>
      <c r="K110" s="50">
        <f t="shared" si="42"/>
        <v>32190.447188054197</v>
      </c>
      <c r="L110" s="50">
        <f t="shared" si="42"/>
        <v>35998.424560021434</v>
      </c>
      <c r="M110" s="50">
        <f t="shared" si="42"/>
        <v>39408.640605702574</v>
      </c>
      <c r="N110" s="50">
        <f t="shared" si="42"/>
        <v>42879.543661297648</v>
      </c>
      <c r="O110" s="50">
        <f t="shared" si="42"/>
        <v>4229.6662616060767</v>
      </c>
      <c r="P110" s="50">
        <f t="shared" si="42"/>
        <v>16696.49028943236</v>
      </c>
    </row>
    <row r="111" spans="1:16" outlineLevel="1">
      <c r="A111" s="41"/>
      <c r="B111" s="32"/>
      <c r="C111" s="33"/>
      <c r="D111" s="43"/>
      <c r="E111" s="43"/>
      <c r="F111" s="43"/>
      <c r="G111" s="43"/>
      <c r="H111" s="43"/>
      <c r="I111" s="41"/>
      <c r="J111" s="41"/>
      <c r="K111" s="41"/>
      <c r="L111" s="41"/>
      <c r="M111" s="41"/>
      <c r="N111" s="41"/>
      <c r="O111" s="41"/>
      <c r="P111" s="41"/>
    </row>
    <row r="112" spans="1:16" outlineLevel="1">
      <c r="A112" s="21" t="s">
        <v>60</v>
      </c>
      <c r="D112" s="48"/>
      <c r="E112" s="48"/>
      <c r="F112" s="48"/>
      <c r="G112" s="48"/>
      <c r="H112" s="48"/>
      <c r="I112" s="32"/>
      <c r="J112" s="32"/>
      <c r="K112" s="32"/>
      <c r="L112" s="32"/>
      <c r="M112" s="32"/>
      <c r="N112" s="32"/>
      <c r="O112" s="32"/>
      <c r="P112" s="32"/>
    </row>
    <row r="113" spans="1:16" outlineLevel="1">
      <c r="A113" s="8" t="s">
        <v>61</v>
      </c>
      <c r="D113" s="48">
        <v>-8400.5376344086017</v>
      </c>
      <c r="E113" s="48">
        <v>-8400.5376344086017</v>
      </c>
      <c r="F113" s="48">
        <v>-8400.5376344086017</v>
      </c>
      <c r="G113" s="48">
        <v>-8400.5376344086017</v>
      </c>
      <c r="H113" s="48">
        <v>-8400.5376344086017</v>
      </c>
      <c r="I113" s="32">
        <f>-I140</f>
        <v>-5750</v>
      </c>
      <c r="J113" s="32">
        <f t="shared" ref="J113:P113" si="43">-J140</f>
        <v>-5750</v>
      </c>
      <c r="K113" s="32">
        <f t="shared" si="43"/>
        <v>-5750</v>
      </c>
      <c r="L113" s="32">
        <f t="shared" si="43"/>
        <v>-5750</v>
      </c>
      <c r="M113" s="32">
        <f t="shared" si="43"/>
        <v>-5750</v>
      </c>
      <c r="N113" s="32">
        <f t="shared" si="43"/>
        <v>-5750</v>
      </c>
      <c r="O113" s="32">
        <f t="shared" si="43"/>
        <v>-1667.4999999999998</v>
      </c>
      <c r="P113" s="32">
        <f t="shared" si="43"/>
        <v>-4082.5</v>
      </c>
    </row>
    <row r="114" spans="1:16" outlineLevel="1">
      <c r="A114" s="8" t="s">
        <v>188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</row>
    <row r="115" spans="1:16" outlineLevel="1">
      <c r="A115" s="27" t="s">
        <v>62</v>
      </c>
      <c r="B115" s="26"/>
      <c r="C115" s="70"/>
      <c r="D115" s="50">
        <f>SUM(D113:D114)</f>
        <v>-8400.5376344086017</v>
      </c>
      <c r="E115" s="50">
        <f t="shared" ref="E115:P115" si="44">SUM(E113:E114)</f>
        <v>-8400.5376344086017</v>
      </c>
      <c r="F115" s="50">
        <f t="shared" si="44"/>
        <v>-8400.5376344086017</v>
      </c>
      <c r="G115" s="50">
        <f t="shared" si="44"/>
        <v>-8400.5376344086017</v>
      </c>
      <c r="H115" s="50">
        <f t="shared" si="44"/>
        <v>-8400.5376344086017</v>
      </c>
      <c r="I115" s="50">
        <f t="shared" si="44"/>
        <v>-5750</v>
      </c>
      <c r="J115" s="50">
        <f t="shared" si="44"/>
        <v>-5750</v>
      </c>
      <c r="K115" s="50">
        <f t="shared" si="44"/>
        <v>-5750</v>
      </c>
      <c r="L115" s="50">
        <f t="shared" si="44"/>
        <v>-5750</v>
      </c>
      <c r="M115" s="50">
        <f t="shared" si="44"/>
        <v>-5750</v>
      </c>
      <c r="N115" s="50">
        <f t="shared" si="44"/>
        <v>-5750</v>
      </c>
      <c r="O115" s="50">
        <f t="shared" si="44"/>
        <v>-1667.4999999999998</v>
      </c>
      <c r="P115" s="50">
        <f t="shared" si="44"/>
        <v>-4082.5</v>
      </c>
    </row>
    <row r="116" spans="1:16" outlineLevel="1">
      <c r="A116" s="41"/>
      <c r="B116" s="32"/>
      <c r="C116" s="33"/>
      <c r="D116" s="43"/>
      <c r="E116" s="43"/>
      <c r="F116" s="43"/>
      <c r="G116" s="43"/>
      <c r="H116" s="43"/>
      <c r="I116" s="41"/>
      <c r="J116" s="41"/>
      <c r="K116" s="41"/>
      <c r="L116" s="41"/>
      <c r="M116" s="41"/>
      <c r="N116" s="41"/>
      <c r="O116" s="41"/>
      <c r="P116" s="41"/>
    </row>
    <row r="117" spans="1:16" outlineLevel="1">
      <c r="A117" s="21" t="s">
        <v>63</v>
      </c>
      <c r="D117" s="48"/>
      <c r="E117" s="48"/>
      <c r="F117" s="48"/>
      <c r="G117" s="48"/>
      <c r="H117" s="48"/>
      <c r="I117" s="32"/>
      <c r="J117" s="32"/>
      <c r="K117" s="32"/>
      <c r="L117" s="32"/>
      <c r="M117" s="32"/>
      <c r="N117" s="32"/>
      <c r="O117" s="32"/>
      <c r="P117" s="32"/>
    </row>
    <row r="118" spans="1:16" outlineLevel="1">
      <c r="A118" s="8" t="s">
        <v>64</v>
      </c>
      <c r="D118" s="48">
        <v>0</v>
      </c>
      <c r="E118" s="48">
        <v>0</v>
      </c>
      <c r="F118" s="48">
        <v>-11200.716845878136</v>
      </c>
      <c r="G118" s="48">
        <v>0</v>
      </c>
      <c r="H118" s="48">
        <v>0</v>
      </c>
      <c r="I118" s="32">
        <f t="shared" ref="I118:P118" si="45">I146</f>
        <v>0</v>
      </c>
      <c r="J118" s="32">
        <f t="shared" si="45"/>
        <v>0</v>
      </c>
      <c r="K118" s="32">
        <f t="shared" si="45"/>
        <v>0</v>
      </c>
      <c r="L118" s="32">
        <f t="shared" si="45"/>
        <v>0</v>
      </c>
      <c r="M118" s="32">
        <f t="shared" si="45"/>
        <v>0</v>
      </c>
      <c r="N118" s="32">
        <f t="shared" si="45"/>
        <v>-10000</v>
      </c>
      <c r="O118" s="32">
        <f t="shared" si="45"/>
        <v>0</v>
      </c>
      <c r="P118" s="32">
        <f t="shared" si="45"/>
        <v>0</v>
      </c>
    </row>
    <row r="119" spans="1:16" outlineLevel="1">
      <c r="A119" s="8" t="s">
        <v>65</v>
      </c>
      <c r="D119" s="48">
        <v>39202.508960573476</v>
      </c>
      <c r="E119" s="48">
        <v>0</v>
      </c>
      <c r="F119" s="48">
        <v>0</v>
      </c>
      <c r="G119" s="48">
        <v>0</v>
      </c>
      <c r="H119" s="48">
        <v>0</v>
      </c>
      <c r="I119" s="32">
        <f t="shared" ref="I119:P119" si="46">I57</f>
        <v>0</v>
      </c>
      <c r="J119" s="32">
        <f t="shared" si="46"/>
        <v>0</v>
      </c>
      <c r="K119" s="32">
        <f t="shared" si="46"/>
        <v>0</v>
      </c>
      <c r="L119" s="32">
        <f t="shared" si="46"/>
        <v>0</v>
      </c>
      <c r="M119" s="32">
        <f t="shared" si="46"/>
        <v>0</v>
      </c>
      <c r="N119" s="32">
        <f t="shared" si="46"/>
        <v>0</v>
      </c>
      <c r="O119" s="32">
        <f t="shared" si="46"/>
        <v>0</v>
      </c>
      <c r="P119" s="32">
        <f t="shared" si="46"/>
        <v>0</v>
      </c>
    </row>
    <row r="120" spans="1:16" outlineLevel="1">
      <c r="A120" s="8" t="s">
        <v>209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32">
        <f>-I58</f>
        <v>0</v>
      </c>
      <c r="J120" s="32">
        <f t="shared" ref="J120:P120" si="47">-J58</f>
        <v>0</v>
      </c>
      <c r="K120" s="32">
        <f t="shared" si="47"/>
        <v>0</v>
      </c>
      <c r="L120" s="32">
        <f t="shared" si="47"/>
        <v>0</v>
      </c>
      <c r="M120" s="32">
        <f t="shared" si="47"/>
        <v>-200</v>
      </c>
      <c r="N120" s="32">
        <f t="shared" si="47"/>
        <v>-200</v>
      </c>
      <c r="O120" s="32">
        <f t="shared" si="47"/>
        <v>0</v>
      </c>
      <c r="P120" s="32">
        <f t="shared" si="47"/>
        <v>0</v>
      </c>
    </row>
    <row r="121" spans="1:16" outlineLevel="1">
      <c r="A121" s="27" t="s">
        <v>66</v>
      </c>
      <c r="B121" s="26"/>
      <c r="C121" s="70"/>
      <c r="D121" s="50">
        <f>SUM(D118:D120)</f>
        <v>39202.508960573476</v>
      </c>
      <c r="E121" s="50">
        <f t="shared" ref="E121:P121" si="48">SUM(E118:E120)</f>
        <v>0</v>
      </c>
      <c r="F121" s="50">
        <f t="shared" si="48"/>
        <v>-11200.716845878136</v>
      </c>
      <c r="G121" s="50">
        <f t="shared" si="48"/>
        <v>0</v>
      </c>
      <c r="H121" s="50">
        <f t="shared" si="48"/>
        <v>0</v>
      </c>
      <c r="I121" s="50">
        <f t="shared" si="48"/>
        <v>0</v>
      </c>
      <c r="J121" s="50">
        <f t="shared" si="48"/>
        <v>0</v>
      </c>
      <c r="K121" s="50">
        <f t="shared" si="48"/>
        <v>0</v>
      </c>
      <c r="L121" s="50">
        <f t="shared" si="48"/>
        <v>0</v>
      </c>
      <c r="M121" s="50">
        <f t="shared" si="48"/>
        <v>-200</v>
      </c>
      <c r="N121" s="50">
        <f t="shared" si="48"/>
        <v>-10200</v>
      </c>
      <c r="O121" s="50">
        <f t="shared" si="48"/>
        <v>0</v>
      </c>
      <c r="P121" s="50">
        <f t="shared" si="48"/>
        <v>0</v>
      </c>
    </row>
    <row r="122" spans="1:16" outlineLevel="1">
      <c r="A122" s="41"/>
      <c r="B122" s="32"/>
      <c r="C122" s="33"/>
      <c r="D122" s="43"/>
      <c r="E122" s="43"/>
      <c r="F122" s="43"/>
      <c r="G122" s="43"/>
      <c r="H122" s="43"/>
      <c r="I122" s="41"/>
      <c r="J122" s="41"/>
      <c r="K122" s="41"/>
      <c r="L122" s="41"/>
      <c r="M122" s="41"/>
      <c r="N122" s="41"/>
      <c r="O122" s="41"/>
      <c r="P122" s="41"/>
    </row>
    <row r="123" spans="1:16" outlineLevel="1">
      <c r="A123" s="8" t="s">
        <v>67</v>
      </c>
      <c r="D123" s="71">
        <f>D110+D115+D121</f>
        <v>37573.461592473119</v>
      </c>
      <c r="E123" s="71">
        <f t="shared" ref="E123:P123" si="49">E110+E115+E121</f>
        <v>5276.7241340786859</v>
      </c>
      <c r="F123" s="71">
        <f t="shared" si="49"/>
        <v>-2329.0482743668872</v>
      </c>
      <c r="G123" s="71">
        <f t="shared" si="49"/>
        <v>10520.126425029006</v>
      </c>
      <c r="H123" s="71">
        <f t="shared" si="49"/>
        <v>10847.36724065913</v>
      </c>
      <c r="I123" s="71">
        <f t="shared" si="49"/>
        <v>15176.156551038446</v>
      </c>
      <c r="J123" s="71">
        <f t="shared" si="49"/>
        <v>22524.493033184812</v>
      </c>
      <c r="K123" s="71">
        <f t="shared" si="49"/>
        <v>26440.447188054197</v>
      </c>
      <c r="L123" s="71">
        <f t="shared" si="49"/>
        <v>30248.424560021434</v>
      </c>
      <c r="M123" s="71">
        <f t="shared" si="49"/>
        <v>33458.640605702574</v>
      </c>
      <c r="N123" s="71">
        <f t="shared" si="49"/>
        <v>26929.543661297648</v>
      </c>
      <c r="O123" s="71">
        <f t="shared" si="49"/>
        <v>2562.1662616060767</v>
      </c>
      <c r="P123" s="71">
        <f t="shared" si="49"/>
        <v>12613.99028943236</v>
      </c>
    </row>
    <row r="124" spans="1:16" outlineLevel="1">
      <c r="A124" s="8" t="s">
        <v>68</v>
      </c>
      <c r="D124" s="48">
        <v>0</v>
      </c>
      <c r="E124" s="32">
        <f>D125</f>
        <v>37573.461592473119</v>
      </c>
      <c r="F124" s="32">
        <f>E125</f>
        <v>42850.185726551805</v>
      </c>
      <c r="G124" s="32">
        <f>F125</f>
        <v>40521.137452184921</v>
      </c>
      <c r="H124" s="32">
        <f>G125</f>
        <v>51041.263877213925</v>
      </c>
      <c r="I124" s="32">
        <f t="shared" ref="I124:N124" si="50">H125</f>
        <v>61888.631117873054</v>
      </c>
      <c r="J124" s="32">
        <f t="shared" si="50"/>
        <v>77064.787668911507</v>
      </c>
      <c r="K124" s="32">
        <f t="shared" si="50"/>
        <v>99589.280702096323</v>
      </c>
      <c r="L124" s="32">
        <f t="shared" si="50"/>
        <v>126029.72789015052</v>
      </c>
      <c r="M124" s="32">
        <f t="shared" si="50"/>
        <v>156278.15245017194</v>
      </c>
      <c r="N124" s="32">
        <f t="shared" si="50"/>
        <v>189736.79305587453</v>
      </c>
      <c r="O124" s="32">
        <f>H125</f>
        <v>61888.631117873054</v>
      </c>
      <c r="P124" s="32">
        <f>O125</f>
        <v>64450.797379479132</v>
      </c>
    </row>
    <row r="125" spans="1:16" outlineLevel="1">
      <c r="A125" s="27" t="s">
        <v>69</v>
      </c>
      <c r="B125" s="26"/>
      <c r="C125" s="70"/>
      <c r="D125" s="50">
        <f>SUM(D123:D124)</f>
        <v>37573.461592473119</v>
      </c>
      <c r="E125" s="50">
        <f t="shared" ref="E125:M125" si="51">SUM(E123:E124)</f>
        <v>42850.185726551805</v>
      </c>
      <c r="F125" s="50">
        <f t="shared" si="51"/>
        <v>40521.137452184921</v>
      </c>
      <c r="G125" s="50">
        <f t="shared" si="51"/>
        <v>51041.263877213925</v>
      </c>
      <c r="H125" s="50">
        <f t="shared" si="51"/>
        <v>61888.631117873054</v>
      </c>
      <c r="I125" s="50">
        <f t="shared" si="51"/>
        <v>77064.787668911507</v>
      </c>
      <c r="J125" s="50">
        <f t="shared" si="51"/>
        <v>99589.280702096323</v>
      </c>
      <c r="K125" s="50">
        <f t="shared" si="51"/>
        <v>126029.72789015052</v>
      </c>
      <c r="L125" s="50">
        <f t="shared" si="51"/>
        <v>156278.15245017194</v>
      </c>
      <c r="M125" s="50">
        <f t="shared" si="51"/>
        <v>189736.79305587453</v>
      </c>
      <c r="N125" s="50">
        <f>SUM(N123:N124)</f>
        <v>216666.33671717218</v>
      </c>
      <c r="O125" s="50">
        <f>SUM(O123:O124)</f>
        <v>64450.797379479132</v>
      </c>
      <c r="P125" s="50">
        <f>SUM(P123:P124)</f>
        <v>77064.787668911493</v>
      </c>
    </row>
    <row r="126" spans="1:16" outlineLevel="1">
      <c r="A126" s="21"/>
      <c r="D126" s="43"/>
      <c r="E126" s="52"/>
      <c r="F126" s="52"/>
      <c r="G126" s="52"/>
      <c r="H126" s="52"/>
    </row>
    <row r="127" spans="1:16" outlineLevel="1">
      <c r="A127" s="21"/>
      <c r="D127" s="43"/>
      <c r="E127" s="52"/>
      <c r="F127" s="52"/>
      <c r="G127" s="52"/>
      <c r="H127" s="52"/>
    </row>
    <row r="128" spans="1:16">
      <c r="D128" s="52"/>
      <c r="E128" s="52"/>
      <c r="F128" s="52"/>
      <c r="G128" s="52"/>
      <c r="H128" s="52"/>
    </row>
    <row r="129" spans="1:16" ht="20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idden="1" outlineLevel="1">
      <c r="D130" s="52"/>
      <c r="E130" s="52"/>
      <c r="F130" s="52"/>
      <c r="G130" s="52"/>
      <c r="H130" s="52"/>
    </row>
    <row r="131" spans="1:16" hidden="1" outlineLevel="1">
      <c r="A131" s="21" t="s">
        <v>71</v>
      </c>
      <c r="D131" s="52"/>
      <c r="E131" s="52"/>
      <c r="F131" s="52"/>
      <c r="G131" s="52"/>
      <c r="H131" s="52"/>
    </row>
    <row r="132" spans="1:16" hidden="1" outlineLevel="1">
      <c r="A132" s="8" t="s">
        <v>43</v>
      </c>
      <c r="D132" s="52">
        <v>2856.3788082437277</v>
      </c>
      <c r="E132" s="52">
        <v>3306.619623655914</v>
      </c>
      <c r="F132" s="52">
        <v>3677.8953853046592</v>
      </c>
      <c r="G132" s="52">
        <v>3985.8030913978496</v>
      </c>
      <c r="H132" s="52">
        <v>4221.8862007168455</v>
      </c>
      <c r="I132" s="72">
        <f t="shared" ref="I132:P133" si="52">I82</f>
        <v>5852.8066234595181</v>
      </c>
      <c r="J132" s="72">
        <f t="shared" si="52"/>
        <v>5506.9589593460005</v>
      </c>
      <c r="K132" s="72">
        <f t="shared" si="52"/>
        <v>6167.7940344675217</v>
      </c>
      <c r="L132" s="72">
        <f t="shared" si="52"/>
        <v>6766.0363520183337</v>
      </c>
      <c r="M132" s="72">
        <f t="shared" si="52"/>
        <v>7327.3393129474161</v>
      </c>
      <c r="N132" s="72">
        <f t="shared" si="52"/>
        <v>7766.9796717242616</v>
      </c>
      <c r="O132" s="72">
        <f t="shared" si="52"/>
        <v>5900.1864866018086</v>
      </c>
      <c r="P132" s="72">
        <f t="shared" si="52"/>
        <v>5852.8066234595181</v>
      </c>
    </row>
    <row r="133" spans="1:16" hidden="1" outlineLevel="1">
      <c r="A133" s="8" t="s">
        <v>44</v>
      </c>
      <c r="D133" s="52">
        <v>4370.8557347670248</v>
      </c>
      <c r="E133" s="52">
        <v>5376.7921146953413</v>
      </c>
      <c r="F133" s="52">
        <v>5502.1281362007167</v>
      </c>
      <c r="G133" s="52">
        <v>5897.6254480286743</v>
      </c>
      <c r="H133" s="52">
        <v>6351.9265232974903</v>
      </c>
      <c r="I133" s="72">
        <f t="shared" si="52"/>
        <v>8380.1549381352179</v>
      </c>
      <c r="J133" s="72">
        <f t="shared" si="52"/>
        <v>9407.7215555494167</v>
      </c>
      <c r="K133" s="72">
        <f t="shared" si="52"/>
        <v>10279.656724112536</v>
      </c>
      <c r="L133" s="72">
        <f t="shared" si="52"/>
        <v>11276.72725336389</v>
      </c>
      <c r="M133" s="72">
        <f t="shared" si="52"/>
        <v>12212.232188245694</v>
      </c>
      <c r="N133" s="72">
        <f t="shared" si="52"/>
        <v>12944.966119540437</v>
      </c>
      <c r="O133" s="72">
        <f t="shared" si="52"/>
        <v>8447.9942876344066</v>
      </c>
      <c r="P133" s="72">
        <f t="shared" si="52"/>
        <v>8380.1549381352179</v>
      </c>
    </row>
    <row r="134" spans="1:16" hidden="1" outlineLevel="1">
      <c r="A134" s="8" t="s">
        <v>48</v>
      </c>
      <c r="D134" s="52">
        <v>2185.4278673835124</v>
      </c>
      <c r="E134" s="52">
        <v>2688.3960573476706</v>
      </c>
      <c r="F134" s="52">
        <v>2751.0640681003583</v>
      </c>
      <c r="G134" s="52">
        <v>2948.8127240143372</v>
      </c>
      <c r="H134" s="52">
        <v>3175.9632616487452</v>
      </c>
      <c r="I134" s="72">
        <f t="shared" ref="I134:P134" si="53">I91</f>
        <v>4357.6805678303126</v>
      </c>
      <c r="J134" s="72">
        <f t="shared" si="53"/>
        <v>4892.0152088856967</v>
      </c>
      <c r="K134" s="72">
        <f t="shared" si="53"/>
        <v>5345.421496538519</v>
      </c>
      <c r="L134" s="72">
        <f t="shared" si="53"/>
        <v>5863.8981717492234</v>
      </c>
      <c r="M134" s="72">
        <f t="shared" si="53"/>
        <v>6350.3607378877614</v>
      </c>
      <c r="N134" s="72">
        <f t="shared" si="53"/>
        <v>6731.3823821610276</v>
      </c>
      <c r="O134" s="72">
        <f t="shared" si="53"/>
        <v>4392.9570295698913</v>
      </c>
      <c r="P134" s="72">
        <f t="shared" si="53"/>
        <v>4357.6805678303126</v>
      </c>
    </row>
    <row r="135" spans="1:16" hidden="1" outlineLevel="1">
      <c r="A135" s="26" t="s">
        <v>72</v>
      </c>
      <c r="B135" s="26"/>
      <c r="C135" s="70"/>
      <c r="D135" s="73">
        <f>D132+D133-D134</f>
        <v>5041.8066756272401</v>
      </c>
      <c r="E135" s="73">
        <f t="shared" ref="E135:M135" si="54">E132+E133-E134</f>
        <v>5995.0156810035842</v>
      </c>
      <c r="F135" s="73">
        <f t="shared" si="54"/>
        <v>6428.9594534050175</v>
      </c>
      <c r="G135" s="73">
        <f t="shared" si="54"/>
        <v>6934.6158154121877</v>
      </c>
      <c r="H135" s="73">
        <f t="shared" si="54"/>
        <v>7397.8494623655915</v>
      </c>
      <c r="I135" s="74">
        <f t="shared" si="54"/>
        <v>9875.2809937644233</v>
      </c>
      <c r="J135" s="74">
        <f t="shared" si="54"/>
        <v>10022.66530600972</v>
      </c>
      <c r="K135" s="74">
        <f t="shared" si="54"/>
        <v>11102.029262041538</v>
      </c>
      <c r="L135" s="74">
        <f t="shared" si="54"/>
        <v>12178.865433633</v>
      </c>
      <c r="M135" s="74">
        <f t="shared" si="54"/>
        <v>13189.210763305349</v>
      </c>
      <c r="N135" s="74">
        <f>N132+N133-N134</f>
        <v>13980.56340910367</v>
      </c>
      <c r="O135" s="74">
        <f t="shared" ref="O135:P135" si="55">O132+O133-O134</f>
        <v>9955.2237446663239</v>
      </c>
      <c r="P135" s="74">
        <f t="shared" si="55"/>
        <v>9875.2809937644233</v>
      </c>
    </row>
    <row r="136" spans="1:16" hidden="1" outlineLevel="1">
      <c r="A136" s="8" t="s">
        <v>73</v>
      </c>
      <c r="D136" s="75">
        <f>D135-C135</f>
        <v>5041.8066756272401</v>
      </c>
      <c r="E136" s="75">
        <f t="shared" ref="E136:N136" si="56">E135-D135</f>
        <v>953.20900537634407</v>
      </c>
      <c r="F136" s="75">
        <f t="shared" si="56"/>
        <v>433.94377240143331</v>
      </c>
      <c r="G136" s="75">
        <f t="shared" si="56"/>
        <v>505.65636200717017</v>
      </c>
      <c r="H136" s="75">
        <f t="shared" si="56"/>
        <v>463.23364695340388</v>
      </c>
      <c r="I136" s="72">
        <f t="shared" si="56"/>
        <v>2477.4315313988318</v>
      </c>
      <c r="J136" s="72">
        <f t="shared" si="56"/>
        <v>147.38431224529631</v>
      </c>
      <c r="K136" s="72">
        <f t="shared" si="56"/>
        <v>1079.3639560318188</v>
      </c>
      <c r="L136" s="72">
        <f t="shared" si="56"/>
        <v>1076.8361715914616</v>
      </c>
      <c r="M136" s="72">
        <f t="shared" si="56"/>
        <v>1010.3453296723492</v>
      </c>
      <c r="N136" s="72">
        <f t="shared" si="56"/>
        <v>791.35264579832074</v>
      </c>
      <c r="O136" s="72">
        <f>O135-H135</f>
        <v>2557.3742823007324</v>
      </c>
      <c r="P136" s="72">
        <f>P135-O135</f>
        <v>-79.942750901900581</v>
      </c>
    </row>
    <row r="137" spans="1:16" hidden="1" outlineLevel="1">
      <c r="D137" s="52"/>
      <c r="E137" s="52"/>
      <c r="F137" s="52"/>
      <c r="G137" s="52"/>
      <c r="H137" s="52"/>
      <c r="I137" s="72"/>
      <c r="J137" s="72"/>
      <c r="K137" s="72"/>
      <c r="L137" s="72"/>
      <c r="M137" s="72"/>
      <c r="N137" s="72"/>
      <c r="O137" s="72"/>
      <c r="P137" s="72"/>
    </row>
    <row r="138" spans="1:16" hidden="1" outlineLevel="1">
      <c r="A138" s="21" t="s">
        <v>74</v>
      </c>
      <c r="D138" s="52"/>
      <c r="E138" s="52"/>
      <c r="F138" s="52"/>
      <c r="G138" s="52"/>
      <c r="H138" s="52"/>
      <c r="I138" s="72"/>
      <c r="J138" s="72"/>
      <c r="K138" s="72"/>
      <c r="L138" s="72"/>
      <c r="M138" s="72"/>
      <c r="N138" s="72"/>
      <c r="O138" s="72"/>
      <c r="P138" s="72"/>
    </row>
    <row r="139" spans="1:16" hidden="1" outlineLevel="1">
      <c r="A139" s="8" t="s">
        <v>75</v>
      </c>
      <c r="D139" s="52">
        <v>28001.792114695338</v>
      </c>
      <c r="E139" s="52">
        <v>25481.630824372758</v>
      </c>
      <c r="F139" s="52">
        <v>23717.517921146951</v>
      </c>
      <c r="G139" s="52">
        <v>22482.638888888887</v>
      </c>
      <c r="H139" s="52">
        <v>21618.223566308243</v>
      </c>
      <c r="I139" s="72">
        <f t="shared" ref="I139:N139" si="57">H142</f>
        <v>21013.132840501792</v>
      </c>
      <c r="J139" s="72">
        <f t="shared" si="57"/>
        <v>22560.506272401435</v>
      </c>
      <c r="K139" s="72">
        <f t="shared" si="57"/>
        <v>23798.405017921148</v>
      </c>
      <c r="L139" s="72">
        <f t="shared" si="57"/>
        <v>24788.72401433692</v>
      </c>
      <c r="M139" s="72">
        <f t="shared" si="57"/>
        <v>25580.979211469537</v>
      </c>
      <c r="N139" s="72">
        <f t="shared" si="57"/>
        <v>26214.783369175631</v>
      </c>
      <c r="O139" s="72">
        <f>H142</f>
        <v>21013.132840501792</v>
      </c>
      <c r="P139" s="72">
        <f>O142</f>
        <v>21461.871135752688</v>
      </c>
    </row>
    <row r="140" spans="1:16" hidden="1" outlineLevel="1">
      <c r="A140" s="8" t="s">
        <v>76</v>
      </c>
      <c r="D140" s="52">
        <v>8400.5376344086017</v>
      </c>
      <c r="E140" s="52">
        <v>8400.5376344086017</v>
      </c>
      <c r="F140" s="52">
        <v>8400.5376344086017</v>
      </c>
      <c r="G140" s="52">
        <v>8400.5376344086017</v>
      </c>
      <c r="H140" s="52">
        <v>8400.5376344086017</v>
      </c>
      <c r="I140" s="72">
        <f t="shared" ref="I140:N140" si="58">I55</f>
        <v>5750</v>
      </c>
      <c r="J140" s="72">
        <f t="shared" si="58"/>
        <v>5750</v>
      </c>
      <c r="K140" s="72">
        <f t="shared" si="58"/>
        <v>5750</v>
      </c>
      <c r="L140" s="72">
        <f t="shared" si="58"/>
        <v>5750</v>
      </c>
      <c r="M140" s="72">
        <f t="shared" si="58"/>
        <v>5750</v>
      </c>
      <c r="N140" s="72">
        <f t="shared" si="58"/>
        <v>5750</v>
      </c>
      <c r="O140" s="72">
        <f>O55*O6</f>
        <v>1667.4999999999998</v>
      </c>
      <c r="P140" s="72">
        <f>P55*P6</f>
        <v>4082.5</v>
      </c>
    </row>
    <row r="141" spans="1:16" hidden="1" outlineLevel="1">
      <c r="A141" s="8" t="s">
        <v>77</v>
      </c>
      <c r="C141" s="62"/>
      <c r="D141" s="52">
        <v>10920.698924731183</v>
      </c>
      <c r="E141" s="52">
        <v>10164.650537634408</v>
      </c>
      <c r="F141" s="52">
        <v>9635.4166666666661</v>
      </c>
      <c r="G141" s="52">
        <v>9264.9529569892475</v>
      </c>
      <c r="H141" s="52">
        <v>9005.6283602150525</v>
      </c>
      <c r="I141" s="76">
        <f t="shared" ref="I141:N141" si="59">I139*I49</f>
        <v>4202.6265681003588</v>
      </c>
      <c r="J141" s="76">
        <f t="shared" si="59"/>
        <v>4512.101254480287</v>
      </c>
      <c r="K141" s="76">
        <f t="shared" si="59"/>
        <v>4759.68100358423</v>
      </c>
      <c r="L141" s="76">
        <f t="shared" si="59"/>
        <v>4957.7448028673844</v>
      </c>
      <c r="M141" s="76">
        <f t="shared" si="59"/>
        <v>5116.1958422939078</v>
      </c>
      <c r="N141" s="76">
        <f t="shared" si="59"/>
        <v>5242.9566738351268</v>
      </c>
      <c r="O141" s="76">
        <f>O139*O49*O6</f>
        <v>1218.761704749104</v>
      </c>
      <c r="P141" s="76">
        <f>P139*P49*P6</f>
        <v>3047.585701276882</v>
      </c>
    </row>
    <row r="142" spans="1:16" hidden="1" outlineLevel="1">
      <c r="A142" s="26" t="s">
        <v>78</v>
      </c>
      <c r="B142" s="26"/>
      <c r="C142" s="70"/>
      <c r="D142" s="73">
        <f>D139+D140-D141</f>
        <v>25481.630824372758</v>
      </c>
      <c r="E142" s="73">
        <f t="shared" ref="E142:M142" si="60">E139+E140-E141</f>
        <v>23717.517921146951</v>
      </c>
      <c r="F142" s="73">
        <f t="shared" si="60"/>
        <v>22482.638888888891</v>
      </c>
      <c r="G142" s="73">
        <f t="shared" si="60"/>
        <v>21618.223566308239</v>
      </c>
      <c r="H142" s="73">
        <f t="shared" si="60"/>
        <v>21013.132840501792</v>
      </c>
      <c r="I142" s="74">
        <f t="shared" si="60"/>
        <v>22560.506272401435</v>
      </c>
      <c r="J142" s="74">
        <f t="shared" si="60"/>
        <v>23798.405017921148</v>
      </c>
      <c r="K142" s="74">
        <f t="shared" si="60"/>
        <v>24788.72401433692</v>
      </c>
      <c r="L142" s="74">
        <f t="shared" si="60"/>
        <v>25580.979211469537</v>
      </c>
      <c r="M142" s="74">
        <f t="shared" si="60"/>
        <v>26214.783369175631</v>
      </c>
      <c r="N142" s="74">
        <f>N139+N140-N141</f>
        <v>26721.826695340504</v>
      </c>
      <c r="O142" s="74">
        <f>O139+O140-O141</f>
        <v>21461.871135752688</v>
      </c>
      <c r="P142" s="74">
        <f>P139+P140-P141</f>
        <v>22496.785434475805</v>
      </c>
    </row>
    <row r="143" spans="1:16" hidden="1" outlineLevel="1">
      <c r="D143" s="52"/>
      <c r="E143" s="52"/>
      <c r="F143" s="52"/>
      <c r="G143" s="52"/>
      <c r="H143" s="52"/>
      <c r="I143" s="72"/>
      <c r="J143" s="72"/>
      <c r="K143" s="72"/>
      <c r="L143" s="72"/>
      <c r="M143" s="72"/>
      <c r="N143" s="72"/>
      <c r="O143" s="72"/>
      <c r="P143" s="72"/>
    </row>
    <row r="144" spans="1:16" hidden="1" outlineLevel="1">
      <c r="A144" s="21" t="s">
        <v>79</v>
      </c>
      <c r="D144" s="52"/>
      <c r="E144" s="52"/>
      <c r="F144" s="52"/>
      <c r="G144" s="52"/>
      <c r="H144" s="52"/>
      <c r="I144" s="72"/>
      <c r="J144" s="72"/>
      <c r="K144" s="72"/>
      <c r="L144" s="72"/>
      <c r="M144" s="72"/>
      <c r="N144" s="72"/>
      <c r="O144" s="72"/>
      <c r="P144" s="72"/>
    </row>
    <row r="145" spans="1:16" hidden="1" outlineLevel="1">
      <c r="A145" s="8" t="s">
        <v>80</v>
      </c>
      <c r="D145" s="52">
        <v>28001.792114695338</v>
      </c>
      <c r="E145" s="52">
        <v>28001.792114695338</v>
      </c>
      <c r="F145" s="52">
        <v>28001.792114695338</v>
      </c>
      <c r="G145" s="52">
        <v>16801.075268817203</v>
      </c>
      <c r="H145" s="52">
        <v>16801.075268817203</v>
      </c>
      <c r="I145" s="72">
        <f t="shared" ref="I145:N145" si="61">H147</f>
        <v>16801.075268817203</v>
      </c>
      <c r="J145" s="72">
        <f t="shared" si="61"/>
        <v>16801.075268817203</v>
      </c>
      <c r="K145" s="72">
        <f t="shared" si="61"/>
        <v>16801.075268817203</v>
      </c>
      <c r="L145" s="72">
        <f t="shared" si="61"/>
        <v>16801.075268817203</v>
      </c>
      <c r="M145" s="72">
        <f t="shared" si="61"/>
        <v>16801.075268817203</v>
      </c>
      <c r="N145" s="72">
        <f t="shared" si="61"/>
        <v>16801.075268817203</v>
      </c>
      <c r="O145" s="72">
        <f>H147</f>
        <v>16801.075268817203</v>
      </c>
      <c r="P145" s="72">
        <f>O147</f>
        <v>16801.075268817203</v>
      </c>
    </row>
    <row r="146" spans="1:16" hidden="1" outlineLevel="1">
      <c r="A146" s="8" t="s">
        <v>81</v>
      </c>
      <c r="D146" s="52">
        <v>0</v>
      </c>
      <c r="E146" s="52">
        <v>0</v>
      </c>
      <c r="F146" s="52">
        <v>-11200.716845878136</v>
      </c>
      <c r="G146" s="52">
        <v>0</v>
      </c>
      <c r="H146" s="52">
        <v>0</v>
      </c>
      <c r="I146" s="77">
        <f t="shared" ref="I146:P146" si="62">I56</f>
        <v>0</v>
      </c>
      <c r="J146" s="77">
        <f t="shared" si="62"/>
        <v>0</v>
      </c>
      <c r="K146" s="77">
        <f t="shared" si="62"/>
        <v>0</v>
      </c>
      <c r="L146" s="77">
        <f t="shared" si="62"/>
        <v>0</v>
      </c>
      <c r="M146" s="77">
        <f t="shared" si="62"/>
        <v>0</v>
      </c>
      <c r="N146" s="77">
        <f t="shared" si="62"/>
        <v>-10000</v>
      </c>
      <c r="O146" s="77">
        <f t="shared" si="62"/>
        <v>0</v>
      </c>
      <c r="P146" s="77">
        <f t="shared" si="62"/>
        <v>0</v>
      </c>
    </row>
    <row r="147" spans="1:16" hidden="1" outlineLevel="1">
      <c r="A147" s="26" t="s">
        <v>82</v>
      </c>
      <c r="B147" s="26"/>
      <c r="C147" s="70"/>
      <c r="D147" s="73">
        <f>SUM(D145:D146)</f>
        <v>28001.792114695338</v>
      </c>
      <c r="E147" s="73">
        <f t="shared" ref="E147:M147" si="63">SUM(E145:E146)</f>
        <v>28001.792114695338</v>
      </c>
      <c r="F147" s="73">
        <f t="shared" si="63"/>
        <v>16801.0752688172</v>
      </c>
      <c r="G147" s="73">
        <f t="shared" si="63"/>
        <v>16801.075268817203</v>
      </c>
      <c r="H147" s="73">
        <f t="shared" si="63"/>
        <v>16801.075268817203</v>
      </c>
      <c r="I147" s="78">
        <f t="shared" si="63"/>
        <v>16801.075268817203</v>
      </c>
      <c r="J147" s="78">
        <f t="shared" si="63"/>
        <v>16801.075268817203</v>
      </c>
      <c r="K147" s="78">
        <f t="shared" si="63"/>
        <v>16801.075268817203</v>
      </c>
      <c r="L147" s="78">
        <f t="shared" si="63"/>
        <v>16801.075268817203</v>
      </c>
      <c r="M147" s="78">
        <f t="shared" si="63"/>
        <v>16801.075268817203</v>
      </c>
      <c r="N147" s="78">
        <f>SUM(N145:N146)</f>
        <v>6801.0752688172033</v>
      </c>
      <c r="O147" s="78">
        <f t="shared" ref="O147:P147" si="64">SUM(O145:O146)</f>
        <v>16801.075268817203</v>
      </c>
      <c r="P147" s="78">
        <f t="shared" si="64"/>
        <v>16801.075268817203</v>
      </c>
    </row>
    <row r="148" spans="1:16" hidden="1" outlineLevel="1">
      <c r="A148" s="8" t="s">
        <v>83</v>
      </c>
      <c r="C148" s="62"/>
      <c r="D148" s="52">
        <v>1400.089605734767</v>
      </c>
      <c r="E148" s="52">
        <v>1400.089605734767</v>
      </c>
      <c r="F148" s="52">
        <v>840.05376344086017</v>
      </c>
      <c r="G148" s="52">
        <v>840.05376344086017</v>
      </c>
      <c r="H148" s="52">
        <v>840.05376344086017</v>
      </c>
      <c r="I148" s="72">
        <f t="shared" ref="I148:N148" si="65">I147*I50</f>
        <v>1344.0860215053763</v>
      </c>
      <c r="J148" s="72">
        <f t="shared" si="65"/>
        <v>1344.0860215053763</v>
      </c>
      <c r="K148" s="72">
        <f t="shared" si="65"/>
        <v>1344.0860215053763</v>
      </c>
      <c r="L148" s="72">
        <f t="shared" si="65"/>
        <v>1344.0860215053763</v>
      </c>
      <c r="M148" s="72">
        <f t="shared" si="65"/>
        <v>1344.0860215053763</v>
      </c>
      <c r="N148" s="72">
        <f t="shared" si="65"/>
        <v>544.08602150537627</v>
      </c>
      <c r="O148" s="72">
        <f>O147*O50*O6</f>
        <v>389.78494623655911</v>
      </c>
      <c r="P148" s="72">
        <f>P147*P50*P6</f>
        <v>954.30107526881704</v>
      </c>
    </row>
    <row r="149" spans="1:16" hidden="1" outlineLevel="1">
      <c r="D149" s="52"/>
      <c r="E149" s="52"/>
      <c r="F149" s="52"/>
      <c r="G149" s="52"/>
      <c r="H149" s="52"/>
    </row>
    <row r="150" spans="1:16" hidden="1" outlineLevel="1">
      <c r="D150" s="52"/>
      <c r="E150" s="52"/>
      <c r="F150" s="52"/>
      <c r="G150" s="52"/>
      <c r="H150" s="52"/>
    </row>
    <row r="151" spans="1:16" collapsed="1">
      <c r="D151" s="52"/>
      <c r="E151" s="52"/>
      <c r="F151" s="52"/>
      <c r="G151" s="52"/>
      <c r="H151" s="52"/>
    </row>
    <row r="152" spans="1:16" ht="20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>
      <c r="A153" s="21"/>
      <c r="D153" s="52"/>
      <c r="E153" s="52"/>
      <c r="F153" s="52"/>
      <c r="G153" s="52"/>
      <c r="H153" s="52"/>
    </row>
    <row r="154" spans="1:16" outlineLevel="1">
      <c r="A154" s="79" t="s">
        <v>14</v>
      </c>
      <c r="B154" s="52"/>
      <c r="C154" s="52"/>
      <c r="D154" s="52"/>
    </row>
    <row r="155" spans="1:16" outlineLevel="1">
      <c r="A155" s="73" t="s">
        <v>85</v>
      </c>
      <c r="B155" s="80"/>
      <c r="C155" s="81">
        <v>0.25</v>
      </c>
      <c r="D155" s="52"/>
    </row>
    <row r="156" spans="1:16" outlineLevel="1">
      <c r="A156" s="75" t="s">
        <v>86</v>
      </c>
      <c r="C156" s="82">
        <v>0.12</v>
      </c>
    </row>
    <row r="157" spans="1:16" outlineLevel="1">
      <c r="A157" s="8" t="s">
        <v>231</v>
      </c>
      <c r="C157" s="82">
        <v>0.03</v>
      </c>
      <c r="J157" s="62"/>
      <c r="K157" s="62"/>
      <c r="L157" s="62"/>
      <c r="M157" s="62"/>
      <c r="N157" s="62"/>
    </row>
    <row r="158" spans="1:16" outlineLevel="1">
      <c r="A158" s="8" t="s">
        <v>232</v>
      </c>
      <c r="C158" s="83">
        <v>7</v>
      </c>
      <c r="J158" s="62"/>
      <c r="K158" s="62"/>
      <c r="L158" s="62"/>
      <c r="M158" s="62"/>
      <c r="N158" s="62"/>
    </row>
    <row r="159" spans="1:16" outlineLevel="1">
      <c r="A159" s="8" t="s">
        <v>7</v>
      </c>
      <c r="C159" s="163">
        <f>'Deal Assumptions &amp; Analysis'!D10</f>
        <v>15.5</v>
      </c>
      <c r="J159" s="62"/>
      <c r="K159" s="62"/>
      <c r="L159" s="62"/>
      <c r="M159" s="62"/>
      <c r="N159" s="62"/>
    </row>
    <row r="160" spans="1:16" outlineLevel="1">
      <c r="A160" s="8" t="s">
        <v>87</v>
      </c>
      <c r="C160" s="162">
        <f>'Deal Assumptions &amp; Analysis'!D24</f>
        <v>25000</v>
      </c>
    </row>
    <row r="161" spans="1:14" outlineLevel="1">
      <c r="C161" s="85"/>
    </row>
    <row r="162" spans="1:14" outlineLevel="1">
      <c r="C162" s="84"/>
    </row>
    <row r="163" spans="1:14" outlineLevel="1">
      <c r="A163" s="47" t="s">
        <v>88</v>
      </c>
      <c r="B163" s="53"/>
      <c r="C163" s="86" t="s">
        <v>89</v>
      </c>
      <c r="D163" s="87">
        <f>I2</f>
        <v>2017</v>
      </c>
      <c r="E163" s="88">
        <f>+D163+1</f>
        <v>2018</v>
      </c>
      <c r="F163" s="88">
        <f>+E163+1</f>
        <v>2019</v>
      </c>
      <c r="G163" s="88">
        <f>+F163+1</f>
        <v>2020</v>
      </c>
      <c r="H163" s="88">
        <f>+G163+1</f>
        <v>2021</v>
      </c>
      <c r="I163" s="88">
        <f>+H163+1</f>
        <v>2022</v>
      </c>
      <c r="J163" s="86" t="s">
        <v>90</v>
      </c>
      <c r="L163" s="21" t="s">
        <v>91</v>
      </c>
    </row>
    <row r="164" spans="1:14" outlineLevel="1">
      <c r="A164" s="89" t="s">
        <v>0</v>
      </c>
      <c r="B164" s="89"/>
      <c r="C164" s="161">
        <f>'Deal Assumptions &amp; Analysis'!$D$11</f>
        <v>42840</v>
      </c>
      <c r="D164" s="90">
        <f t="shared" ref="D164:I164" si="66">DATE(D163,12,31)</f>
        <v>43100</v>
      </c>
      <c r="E164" s="90">
        <f t="shared" si="66"/>
        <v>43465</v>
      </c>
      <c r="F164" s="90">
        <f t="shared" si="66"/>
        <v>43830</v>
      </c>
      <c r="G164" s="90">
        <f t="shared" si="66"/>
        <v>44196</v>
      </c>
      <c r="H164" s="90">
        <f t="shared" si="66"/>
        <v>44561</v>
      </c>
      <c r="I164" s="90">
        <f t="shared" si="66"/>
        <v>44926</v>
      </c>
      <c r="J164" s="90">
        <f>I164</f>
        <v>44926</v>
      </c>
      <c r="L164" s="26" t="s">
        <v>2</v>
      </c>
      <c r="M164" s="26"/>
      <c r="N164" s="91">
        <f>+H171*C158</f>
        <v>408633.04753419361</v>
      </c>
    </row>
    <row r="165" spans="1:14" outlineLevel="1">
      <c r="A165" s="67" t="s">
        <v>92</v>
      </c>
      <c r="B165" s="67"/>
      <c r="C165" s="67"/>
      <c r="D165" s="92">
        <f t="shared" ref="D165:I165" si="67">YEARFRAC(C164,D164)</f>
        <v>0.71111111111111114</v>
      </c>
      <c r="E165" s="92">
        <f t="shared" si="67"/>
        <v>1</v>
      </c>
      <c r="F165" s="92">
        <f t="shared" si="67"/>
        <v>1</v>
      </c>
      <c r="G165" s="92">
        <f t="shared" si="67"/>
        <v>1</v>
      </c>
      <c r="H165" s="92">
        <f t="shared" si="67"/>
        <v>1</v>
      </c>
      <c r="I165" s="92">
        <f t="shared" si="67"/>
        <v>1</v>
      </c>
      <c r="J165" s="92">
        <f>H165</f>
        <v>1</v>
      </c>
    </row>
    <row r="166" spans="1:14" outlineLevel="1">
      <c r="A166" s="67"/>
      <c r="B166" s="67"/>
      <c r="C166" s="67"/>
      <c r="D166" s="92"/>
      <c r="E166" s="92"/>
      <c r="F166" s="92"/>
      <c r="G166" s="92"/>
      <c r="H166" s="92"/>
      <c r="I166" s="92"/>
      <c r="J166" s="93"/>
    </row>
    <row r="167" spans="1:14" outlineLevel="1">
      <c r="A167" s="8" t="s">
        <v>5</v>
      </c>
      <c r="C167" s="8"/>
      <c r="D167" s="32">
        <f t="shared" ref="D167:I167" si="68">I72+I70</f>
        <v>29580.794130824375</v>
      </c>
      <c r="E167" s="32">
        <f t="shared" si="68"/>
        <v>36505.521449372762</v>
      </c>
      <c r="F167" s="32">
        <f t="shared" si="68"/>
        <v>43270.747992831537</v>
      </c>
      <c r="G167" s="32">
        <f t="shared" si="68"/>
        <v>48575.727093189962</v>
      </c>
      <c r="H167" s="32">
        <f t="shared" si="68"/>
        <v>53259.953805448036</v>
      </c>
      <c r="I167" s="32">
        <f t="shared" si="68"/>
        <v>57055.761952771332</v>
      </c>
    </row>
    <row r="168" spans="1:14" outlineLevel="1">
      <c r="A168" s="8" t="s">
        <v>93</v>
      </c>
      <c r="C168" s="8"/>
      <c r="D168" s="94">
        <f t="shared" ref="D168:I168" si="69">D167*$C$155</f>
        <v>7395.1985327060938</v>
      </c>
      <c r="E168" s="94">
        <f t="shared" si="69"/>
        <v>9126.3803623431904</v>
      </c>
      <c r="F168" s="94">
        <f t="shared" si="69"/>
        <v>10817.686998207884</v>
      </c>
      <c r="G168" s="94">
        <f t="shared" si="69"/>
        <v>12143.931773297491</v>
      </c>
      <c r="H168" s="94">
        <f t="shared" si="69"/>
        <v>13314.988451362009</v>
      </c>
      <c r="I168" s="94">
        <f t="shared" si="69"/>
        <v>14263.940488192833</v>
      </c>
    </row>
    <row r="169" spans="1:14" outlineLevel="1">
      <c r="A169" s="26" t="s">
        <v>94</v>
      </c>
      <c r="B169" s="26"/>
      <c r="C169" s="26"/>
      <c r="D169" s="91">
        <f t="shared" ref="D169:I169" si="70">D167-D168</f>
        <v>22185.595598118281</v>
      </c>
      <c r="E169" s="91">
        <f t="shared" si="70"/>
        <v>27379.141087029573</v>
      </c>
      <c r="F169" s="91">
        <f t="shared" si="70"/>
        <v>32453.060994623651</v>
      </c>
      <c r="G169" s="91">
        <f t="shared" si="70"/>
        <v>36431.795319892473</v>
      </c>
      <c r="H169" s="91">
        <f t="shared" si="70"/>
        <v>39944.965354086031</v>
      </c>
      <c r="I169" s="91">
        <f t="shared" si="70"/>
        <v>42791.821464578497</v>
      </c>
    </row>
    <row r="170" spans="1:14" outlineLevel="1">
      <c r="A170" s="8" t="s">
        <v>95</v>
      </c>
      <c r="C170" s="32"/>
      <c r="D170" s="95">
        <f t="shared" ref="D170:I170" si="71">+I108</f>
        <v>4202.6265681003588</v>
      </c>
      <c r="E170" s="95">
        <f t="shared" si="71"/>
        <v>4512.101254480287</v>
      </c>
      <c r="F170" s="95">
        <f t="shared" si="71"/>
        <v>4759.68100358423</v>
      </c>
      <c r="G170" s="95">
        <f t="shared" si="71"/>
        <v>4957.7448028673844</v>
      </c>
      <c r="H170" s="95">
        <f t="shared" si="71"/>
        <v>5116.1958422939078</v>
      </c>
      <c r="I170" s="95">
        <f t="shared" si="71"/>
        <v>5242.9566738351268</v>
      </c>
      <c r="J170" s="32"/>
    </row>
    <row r="171" spans="1:14" outlineLevel="1">
      <c r="A171" s="8" t="s">
        <v>4</v>
      </c>
      <c r="C171" s="32"/>
      <c r="D171" s="95">
        <f t="shared" ref="D171:I171" si="72">D167+D170</f>
        <v>33783.420698924732</v>
      </c>
      <c r="E171" s="95">
        <f t="shared" si="72"/>
        <v>41017.622703853049</v>
      </c>
      <c r="F171" s="95">
        <f t="shared" si="72"/>
        <v>48030.428996415765</v>
      </c>
      <c r="G171" s="95">
        <f t="shared" si="72"/>
        <v>53533.471896057345</v>
      </c>
      <c r="H171" s="95">
        <f t="shared" si="72"/>
        <v>58376.149647741942</v>
      </c>
      <c r="I171" s="95">
        <f t="shared" si="72"/>
        <v>62298.71862660646</v>
      </c>
      <c r="J171" s="32"/>
    </row>
    <row r="172" spans="1:14" outlineLevel="1">
      <c r="A172" s="8" t="s">
        <v>96</v>
      </c>
      <c r="C172" s="32"/>
      <c r="D172" s="32">
        <f>-I113</f>
        <v>5750</v>
      </c>
      <c r="E172" s="32">
        <f t="shared" ref="E172:I172" si="73">-J113</f>
        <v>5750</v>
      </c>
      <c r="F172" s="32">
        <f t="shared" si="73"/>
        <v>5750</v>
      </c>
      <c r="G172" s="32">
        <f t="shared" si="73"/>
        <v>5750</v>
      </c>
      <c r="H172" s="32">
        <f t="shared" si="73"/>
        <v>5750</v>
      </c>
      <c r="I172" s="32">
        <f t="shared" si="73"/>
        <v>5750</v>
      </c>
      <c r="J172" s="32"/>
    </row>
    <row r="173" spans="1:14" outlineLevel="1">
      <c r="A173" s="8" t="s">
        <v>97</v>
      </c>
      <c r="C173" s="32"/>
      <c r="D173" s="32">
        <f t="shared" ref="D173:I173" si="74">I136</f>
        <v>2477.4315313988318</v>
      </c>
      <c r="E173" s="32">
        <f t="shared" si="74"/>
        <v>147.38431224529631</v>
      </c>
      <c r="F173" s="32">
        <f t="shared" si="74"/>
        <v>1079.3639560318188</v>
      </c>
      <c r="G173" s="32">
        <f t="shared" si="74"/>
        <v>1076.8361715914616</v>
      </c>
      <c r="H173" s="32">
        <f t="shared" si="74"/>
        <v>1010.3453296723492</v>
      </c>
      <c r="I173" s="32">
        <f t="shared" si="74"/>
        <v>791.35264579832074</v>
      </c>
      <c r="J173" s="32"/>
    </row>
    <row r="174" spans="1:14" outlineLevel="1">
      <c r="A174" s="27" t="s">
        <v>98</v>
      </c>
      <c r="B174" s="27"/>
      <c r="C174" s="27"/>
      <c r="D174" s="215">
        <f>D169+D170-D172-D173</f>
        <v>18160.790634819808</v>
      </c>
      <c r="E174" s="215">
        <f t="shared" ref="E174:I174" si="75">E169+E170-E172-E173</f>
        <v>25993.858029264564</v>
      </c>
      <c r="F174" s="215">
        <f t="shared" si="75"/>
        <v>30383.37804217606</v>
      </c>
      <c r="G174" s="215">
        <f t="shared" si="75"/>
        <v>34562.703951168398</v>
      </c>
      <c r="H174" s="215">
        <f t="shared" si="75"/>
        <v>38300.815866707591</v>
      </c>
      <c r="I174" s="215">
        <f t="shared" si="75"/>
        <v>41493.425492615308</v>
      </c>
      <c r="J174" s="96">
        <f>N164</f>
        <v>408633.04753419361</v>
      </c>
    </row>
    <row r="175" spans="1:14" outlineLevel="1">
      <c r="C175" s="8"/>
      <c r="D175" s="32"/>
      <c r="E175" s="32"/>
      <c r="F175" s="32"/>
      <c r="G175" s="32"/>
      <c r="H175" s="32"/>
      <c r="I175" s="32"/>
      <c r="J175" s="53"/>
    </row>
    <row r="176" spans="1:14" outlineLevel="1">
      <c r="A176" s="21" t="s">
        <v>99</v>
      </c>
      <c r="B176" s="21"/>
      <c r="C176" s="21">
        <v>0</v>
      </c>
      <c r="D176" s="41">
        <f t="shared" ref="D176:J176" si="76">D174*D165</f>
        <v>12914.340006982975</v>
      </c>
      <c r="E176" s="41">
        <f t="shared" si="76"/>
        <v>25993.858029264564</v>
      </c>
      <c r="F176" s="41">
        <f t="shared" si="76"/>
        <v>30383.37804217606</v>
      </c>
      <c r="G176" s="41">
        <f t="shared" si="76"/>
        <v>34562.703951168398</v>
      </c>
      <c r="H176" s="41">
        <f t="shared" si="76"/>
        <v>38300.815866707591</v>
      </c>
      <c r="I176" s="41">
        <f t="shared" si="76"/>
        <v>41493.425492615308</v>
      </c>
      <c r="J176" s="41">
        <f t="shared" si="76"/>
        <v>408633.04753419361</v>
      </c>
    </row>
    <row r="177" spans="1:12" outlineLevel="1">
      <c r="C177" s="32"/>
      <c r="D177" s="32"/>
      <c r="E177" s="32"/>
      <c r="F177" s="32"/>
      <c r="G177" s="32"/>
      <c r="H177" s="32"/>
      <c r="I177" s="32"/>
      <c r="J177" s="32"/>
    </row>
    <row r="178" spans="1:12" outlineLevel="1">
      <c r="A178" s="21" t="s">
        <v>100</v>
      </c>
      <c r="B178" s="21"/>
      <c r="C178" s="41">
        <f>-G184</f>
        <v>-339850.27788933809</v>
      </c>
      <c r="D178" s="41">
        <f t="shared" ref="D178:J178" si="77">D176</f>
        <v>12914.340006982975</v>
      </c>
      <c r="E178" s="41">
        <f t="shared" si="77"/>
        <v>25993.858029264564</v>
      </c>
      <c r="F178" s="41">
        <f t="shared" si="77"/>
        <v>30383.37804217606</v>
      </c>
      <c r="G178" s="41">
        <f t="shared" si="77"/>
        <v>34562.703951168398</v>
      </c>
      <c r="H178" s="41">
        <f t="shared" si="77"/>
        <v>38300.815866707591</v>
      </c>
      <c r="I178" s="41">
        <f t="shared" si="77"/>
        <v>41493.425492615308</v>
      </c>
      <c r="J178" s="41">
        <f t="shared" si="77"/>
        <v>408633.04753419361</v>
      </c>
    </row>
    <row r="179" spans="1:12" outlineLevel="1">
      <c r="A179" s="32"/>
      <c r="B179" s="97"/>
      <c r="C179" s="32"/>
      <c r="D179" s="32"/>
      <c r="E179" s="32"/>
      <c r="F179" s="32"/>
      <c r="G179" s="32"/>
      <c r="H179" s="32"/>
    </row>
    <row r="180" spans="1:12" outlineLevel="1">
      <c r="A180" s="21" t="s">
        <v>101</v>
      </c>
      <c r="C180" s="32"/>
      <c r="E180" s="21" t="s">
        <v>102</v>
      </c>
      <c r="G180" s="101" t="s">
        <v>102</v>
      </c>
      <c r="H180" s="101" t="s">
        <v>211</v>
      </c>
      <c r="J180" s="21" t="s">
        <v>103</v>
      </c>
    </row>
    <row r="181" spans="1:12" outlineLevel="1">
      <c r="A181" s="26" t="s">
        <v>104</v>
      </c>
      <c r="B181" s="26"/>
      <c r="C181" s="26">
        <f>XNPV(C156,C176:J176,C164:J164)</f>
        <v>336328.93445920496</v>
      </c>
      <c r="E181" s="26" t="s">
        <v>3</v>
      </c>
      <c r="F181" s="26"/>
      <c r="G181" s="26">
        <f>C159*C160</f>
        <v>387500</v>
      </c>
      <c r="H181" s="26">
        <f>C160*'Deal Assumptions &amp; Analysis'!D35</f>
        <v>484375</v>
      </c>
      <c r="J181" s="26" t="s">
        <v>212</v>
      </c>
      <c r="K181" s="26"/>
      <c r="L181" s="291">
        <f>XIRR(C178:J178,C164:J164)</f>
        <v>0.11761417984962463</v>
      </c>
    </row>
    <row r="182" spans="1:12" outlineLevel="1">
      <c r="A182" s="8" t="s">
        <v>105</v>
      </c>
      <c r="C182" s="8">
        <f>+H81</f>
        <v>61888.631117873054</v>
      </c>
      <c r="E182" s="8" t="s">
        <v>106</v>
      </c>
      <c r="G182" s="8">
        <f>O93+O90</f>
        <v>16801.075268817203</v>
      </c>
      <c r="H182" s="8">
        <f>G182</f>
        <v>16801.075268817203</v>
      </c>
      <c r="L182" s="98"/>
    </row>
    <row r="183" spans="1:12" outlineLevel="1">
      <c r="A183" s="8" t="s">
        <v>107</v>
      </c>
      <c r="C183" s="8">
        <f>H93</f>
        <v>16801.075268817203</v>
      </c>
      <c r="E183" s="8" t="s">
        <v>108</v>
      </c>
      <c r="G183" s="8">
        <f>O81</f>
        <v>64450.797379479132</v>
      </c>
      <c r="H183" s="8">
        <f t="shared" ref="H183" si="78">G183</f>
        <v>64450.797379479132</v>
      </c>
      <c r="J183" s="32"/>
      <c r="K183" s="32"/>
      <c r="L183" s="97"/>
    </row>
    <row r="184" spans="1:12" outlineLevel="1">
      <c r="A184" s="8" t="s">
        <v>8</v>
      </c>
      <c r="C184" s="26">
        <f>C181+C182-C183</f>
        <v>381416.49030826084</v>
      </c>
      <c r="E184" s="8" t="s">
        <v>104</v>
      </c>
      <c r="G184" s="26">
        <f>G181+G182-G183</f>
        <v>339850.27788933809</v>
      </c>
      <c r="H184" s="26">
        <f>H181+H182-H183</f>
        <v>436725.27788933809</v>
      </c>
    </row>
    <row r="185" spans="1:12" outlineLevel="1">
      <c r="C185" s="8"/>
      <c r="G185" s="93"/>
    </row>
    <row r="186" spans="1:12" outlineLevel="1">
      <c r="A186" s="21" t="s">
        <v>110</v>
      </c>
      <c r="C186" s="99">
        <f>C184/C160</f>
        <v>15.256659612330434</v>
      </c>
      <c r="E186" s="21" t="s">
        <v>110</v>
      </c>
      <c r="F186" s="21"/>
      <c r="G186" s="100">
        <f>C159</f>
        <v>15.5</v>
      </c>
    </row>
    <row r="187" spans="1:12" outlineLevel="1">
      <c r="C187" s="8"/>
    </row>
    <row r="188" spans="1:12" outlineLevel="1">
      <c r="C188" s="8"/>
    </row>
    <row r="189" spans="1:12">
      <c r="C189" s="8"/>
    </row>
  </sheetData>
  <conditionalFormatting sqref="G10 J10 D4:N6">
    <cfRule type="containsText" dxfId="15" priority="31" operator="containsText" text="OK">
      <formula>NOT(ISERROR(SEARCH("OK",D4)))</formula>
    </cfRule>
    <cfRule type="containsText" dxfId="14" priority="32" operator="containsText" text="ERROR">
      <formula>NOT(ISERROR(SEARCH("ERROR",D4)))</formula>
    </cfRule>
  </conditionalFormatting>
  <conditionalFormatting sqref="H10">
    <cfRule type="containsText" dxfId="13" priority="13" operator="containsText" text="OK">
      <formula>NOT(ISERROR(SEARCH("OK",H10)))</formula>
    </cfRule>
    <cfRule type="containsText" dxfId="12" priority="14" operator="containsText" text="ERROR">
      <formula>NOT(ISERROR(SEARCH("ERROR",H10)))</formula>
    </cfRule>
  </conditionalFormatting>
  <conditionalFormatting sqref="O4">
    <cfRule type="containsText" dxfId="11" priority="11" operator="containsText" text="OK">
      <formula>NOT(ISERROR(SEARCH("OK",O4)))</formula>
    </cfRule>
    <cfRule type="containsText" dxfId="10" priority="12" operator="containsText" text="ERROR">
      <formula>NOT(ISERROR(SEARCH("ERROR",O4)))</formula>
    </cfRule>
  </conditionalFormatting>
  <conditionalFormatting sqref="O6">
    <cfRule type="containsText" dxfId="9" priority="9" operator="containsText" text="OK">
      <formula>NOT(ISERROR(SEARCH("OK",O6)))</formula>
    </cfRule>
    <cfRule type="containsText" dxfId="8" priority="10" operator="containsText" text="ERROR">
      <formula>NOT(ISERROR(SEARCH("ERROR",O6)))</formula>
    </cfRule>
  </conditionalFormatting>
  <conditionalFormatting sqref="P4">
    <cfRule type="containsText" dxfId="7" priority="7" operator="containsText" text="OK">
      <formula>NOT(ISERROR(SEARCH("OK",P4)))</formula>
    </cfRule>
    <cfRule type="containsText" dxfId="6" priority="8" operator="containsText" text="ERROR">
      <formula>NOT(ISERROR(SEARCH("ERROR",P4)))</formula>
    </cfRule>
  </conditionalFormatting>
  <conditionalFormatting sqref="P6">
    <cfRule type="containsText" dxfId="5" priority="5" operator="containsText" text="OK">
      <formula>NOT(ISERROR(SEARCH("OK",P6)))</formula>
    </cfRule>
    <cfRule type="containsText" dxfId="4" priority="6" operator="containsText" text="ERROR">
      <formula>NOT(ISERROR(SEARCH("ERROR",P6)))</formula>
    </cfRule>
  </conditionalFormatting>
  <conditionalFormatting sqref="O5">
    <cfRule type="containsText" dxfId="3" priority="3" operator="containsText" text="OK">
      <formula>NOT(ISERROR(SEARCH("OK",O5)))</formula>
    </cfRule>
    <cfRule type="containsText" dxfId="2" priority="4" operator="containsText" text="ERROR">
      <formula>NOT(ISERROR(SEARCH("ERROR",O5)))</formula>
    </cfRule>
  </conditionalFormatting>
  <conditionalFormatting sqref="P5">
    <cfRule type="containsText" dxfId="1" priority="1" operator="containsText" text="OK">
      <formula>NOT(ISERROR(SEARCH("OK",P5)))</formula>
    </cfRule>
    <cfRule type="containsText" dxfId="0" priority="2" operator="containsText" text="ERROR">
      <formula>NOT(ISERROR(SEARCH("ERROR",P5)))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Assumptions &amp; Analysis</vt:lpstr>
      <vt:lpstr>Pro Forma Model</vt:lpstr>
      <vt:lpstr>Acquirer Model</vt:lpstr>
      <vt:lpstr>Target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2020-04-24T21:07:46Z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