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filterPrivacy="1" codeName="ThisWorkbook"/>
  <xr:revisionPtr revIDLastSave="0" documentId="13_ncr:1_{5C84B359-E4CF-B045-B504-73123DD69553}" xr6:coauthVersionLast="45" xr6:coauthVersionMax="45" xr10:uidLastSave="{00000000-0000-0000-0000-000000000000}"/>
  <bookViews>
    <workbookView xWindow="0" yWindow="0" windowWidth="28800" windowHeight="18000" tabRatio="514" activeTab="1" xr2:uid="{00000000-000D-0000-FFFF-FFFF00000000}"/>
  </bookViews>
  <sheets>
    <sheet name="Cover Page" sheetId="7" r:id="rId1"/>
    <sheet name="Leveraged Buyout (LBO) Model" sheetId="9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Page'!$A$1:$P$27</definedName>
  </definedNames>
  <calcPr calcId="191029" iterate="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33" i="9" l="1"/>
  <c r="E333" i="9"/>
  <c r="M332" i="9"/>
  <c r="E332" i="9"/>
  <c r="M331" i="9"/>
  <c r="E331" i="9"/>
  <c r="M329" i="9"/>
  <c r="L329" i="9"/>
  <c r="K329" i="9"/>
  <c r="J329" i="9"/>
  <c r="I329" i="9"/>
  <c r="H329" i="9"/>
  <c r="G329" i="9"/>
  <c r="F329" i="9"/>
  <c r="E329" i="9"/>
  <c r="C320" i="9"/>
  <c r="J295" i="9" l="1"/>
  <c r="I295" i="9"/>
  <c r="G295" i="9"/>
  <c r="F295" i="9"/>
  <c r="E295" i="9"/>
  <c r="F294" i="9"/>
  <c r="G294" i="9" s="1"/>
  <c r="H294" i="9" s="1"/>
  <c r="I294" i="9" s="1"/>
  <c r="J294" i="9" s="1"/>
  <c r="K294" i="9" s="1"/>
  <c r="L294" i="9" s="1"/>
  <c r="L295" i="9" s="1"/>
  <c r="M295" i="9" s="1"/>
  <c r="D21" i="9"/>
  <c r="D20" i="9"/>
  <c r="H65" i="9" s="1"/>
  <c r="N213" i="9"/>
  <c r="M213" i="9"/>
  <c r="L213" i="9"/>
  <c r="K213" i="9"/>
  <c r="J213" i="9"/>
  <c r="I213" i="9"/>
  <c r="H213" i="9"/>
  <c r="C239" i="9"/>
  <c r="A244" i="9"/>
  <c r="A236" i="9"/>
  <c r="A228" i="9"/>
  <c r="A220" i="9"/>
  <c r="D198" i="9"/>
  <c r="G197" i="9"/>
  <c r="F197" i="9"/>
  <c r="E197" i="9"/>
  <c r="D197" i="9"/>
  <c r="G196" i="9"/>
  <c r="F196" i="9"/>
  <c r="E196" i="9"/>
  <c r="D196" i="9"/>
  <c r="E195" i="9"/>
  <c r="E198" i="9" s="1"/>
  <c r="F195" i="9" s="1"/>
  <c r="F198" i="9" s="1"/>
  <c r="G195" i="9" s="1"/>
  <c r="G198" i="9" s="1"/>
  <c r="D195" i="9"/>
  <c r="G189" i="9"/>
  <c r="F189" i="9"/>
  <c r="E189" i="9"/>
  <c r="D189" i="9"/>
  <c r="G188" i="9"/>
  <c r="F188" i="9"/>
  <c r="E188" i="9"/>
  <c r="D188" i="9"/>
  <c r="G187" i="9"/>
  <c r="G190" i="9" s="1"/>
  <c r="G192" i="9" s="1"/>
  <c r="F187" i="9"/>
  <c r="F190" i="9" s="1"/>
  <c r="E187" i="9"/>
  <c r="E190" i="9" s="1"/>
  <c r="D187" i="9"/>
  <c r="D190" i="9" s="1"/>
  <c r="D192" i="9" s="1"/>
  <c r="H296" i="9" l="1"/>
  <c r="K295" i="9"/>
  <c r="L296" i="9" s="1"/>
  <c r="E192" i="9"/>
  <c r="H295" i="9"/>
  <c r="I296" i="9" s="1"/>
  <c r="F296" i="9"/>
  <c r="J296" i="9"/>
  <c r="G296" i="9"/>
  <c r="K296" i="9"/>
  <c r="F192" i="9"/>
  <c r="M75" i="9" l="1"/>
  <c r="F78" i="9"/>
  <c r="F76" i="9"/>
  <c r="D77" i="9"/>
  <c r="F77" i="9" s="1"/>
  <c r="D76" i="9"/>
  <c r="D75" i="9"/>
  <c r="F75" i="9" s="1"/>
  <c r="D74" i="9"/>
  <c r="D79" i="9" l="1"/>
  <c r="H191" i="9"/>
  <c r="C53" i="9"/>
  <c r="G224" i="9" s="1"/>
  <c r="C54" i="9"/>
  <c r="H66" i="9" s="1"/>
  <c r="C55" i="9"/>
  <c r="C66" i="9" s="1"/>
  <c r="C56" i="9"/>
  <c r="C63" i="9"/>
  <c r="C52" i="9" s="1"/>
  <c r="C64" i="9"/>
  <c r="C67" i="9"/>
  <c r="H68" i="9"/>
  <c r="H221" i="9" l="1"/>
  <c r="G86" i="9"/>
  <c r="C65" i="9"/>
  <c r="D34" i="9"/>
  <c r="D32" i="9"/>
  <c r="D31" i="9"/>
  <c r="D30" i="9"/>
  <c r="D39" i="9"/>
  <c r="D38" i="9"/>
  <c r="G232" i="9"/>
  <c r="H277" i="9"/>
  <c r="D284" i="9"/>
  <c r="F284" i="9" s="1"/>
  <c r="G284" i="9" s="1"/>
  <c r="D283" i="9"/>
  <c r="D285" i="9" s="1"/>
  <c r="D280" i="9"/>
  <c r="J280" i="9" s="1"/>
  <c r="K278" i="9"/>
  <c r="D278" i="9"/>
  <c r="F278" i="9" s="1"/>
  <c r="D277" i="9"/>
  <c r="J277" i="9" s="1"/>
  <c r="D273" i="9"/>
  <c r="F273" i="9" s="1"/>
  <c r="K272" i="9"/>
  <c r="D272" i="9"/>
  <c r="K270" i="9"/>
  <c r="D270" i="9"/>
  <c r="K269" i="9"/>
  <c r="D269" i="9"/>
  <c r="D268" i="9"/>
  <c r="H229" i="9" l="1"/>
  <c r="H230" i="9" s="1"/>
  <c r="L278" i="9"/>
  <c r="D271" i="9"/>
  <c r="D274" i="9" s="1"/>
  <c r="H280" i="9"/>
  <c r="K280" i="9" s="1"/>
  <c r="G248" i="9"/>
  <c r="G240" i="9"/>
  <c r="K277" i="9"/>
  <c r="J268" i="9"/>
  <c r="F277" i="9"/>
  <c r="F280" i="9"/>
  <c r="F283" i="9"/>
  <c r="G283" i="9" s="1"/>
  <c r="D279" i="9"/>
  <c r="D281" i="9" s="1"/>
  <c r="D286" i="9" s="1"/>
  <c r="H246" i="9" l="1"/>
  <c r="H245" i="9"/>
  <c r="H237" i="9"/>
  <c r="H253" i="9" s="1"/>
  <c r="G256" i="9"/>
  <c r="G87" i="9" s="1"/>
  <c r="G88" i="9" s="1"/>
  <c r="L277" i="9"/>
  <c r="L279" i="9" s="1"/>
  <c r="L280" i="9"/>
  <c r="L281" i="9" l="1"/>
  <c r="H238" i="9"/>
  <c r="H254" i="9" s="1"/>
  <c r="H207" i="9" s="1"/>
  <c r="G7" i="9"/>
  <c r="J39" i="9" l="1"/>
  <c r="N39" i="9"/>
  <c r="L40" i="9"/>
  <c r="J41" i="9"/>
  <c r="N41" i="9"/>
  <c r="L42" i="9"/>
  <c r="L118" i="9" s="1"/>
  <c r="J43" i="9"/>
  <c r="N43" i="9"/>
  <c r="L44" i="9"/>
  <c r="J45" i="9"/>
  <c r="N45" i="9"/>
  <c r="L46" i="9"/>
  <c r="J47" i="9"/>
  <c r="N47" i="9"/>
  <c r="H44" i="9"/>
  <c r="N40" i="9"/>
  <c r="J42" i="9"/>
  <c r="J118" i="9" s="1"/>
  <c r="L43" i="9"/>
  <c r="N44" i="9"/>
  <c r="J46" i="9"/>
  <c r="L47" i="9"/>
  <c r="H42" i="9"/>
  <c r="H118" i="9" s="1"/>
  <c r="K40" i="9"/>
  <c r="M41" i="9"/>
  <c r="I43" i="9"/>
  <c r="K44" i="9"/>
  <c r="M45" i="9"/>
  <c r="I47" i="9"/>
  <c r="H45" i="9"/>
  <c r="K39" i="9"/>
  <c r="I40" i="9"/>
  <c r="M40" i="9"/>
  <c r="K41" i="9"/>
  <c r="I42" i="9"/>
  <c r="I118" i="9" s="1"/>
  <c r="M42" i="9"/>
  <c r="M118" i="9" s="1"/>
  <c r="K43" i="9"/>
  <c r="I44" i="9"/>
  <c r="M44" i="9"/>
  <c r="K45" i="9"/>
  <c r="I46" i="9"/>
  <c r="M46" i="9"/>
  <c r="K47" i="9"/>
  <c r="H47" i="9"/>
  <c r="H43" i="9"/>
  <c r="L39" i="9"/>
  <c r="J40" i="9"/>
  <c r="L41" i="9"/>
  <c r="N42" i="9"/>
  <c r="N118" i="9" s="1"/>
  <c r="J44" i="9"/>
  <c r="L45" i="9"/>
  <c r="N46" i="9"/>
  <c r="H46" i="9"/>
  <c r="M39" i="9"/>
  <c r="I41" i="9"/>
  <c r="K42" i="9"/>
  <c r="K118" i="9" s="1"/>
  <c r="M43" i="9"/>
  <c r="I45" i="9"/>
  <c r="K46" i="9"/>
  <c r="M47" i="9"/>
  <c r="I39" i="9"/>
  <c r="H40" i="9"/>
  <c r="H39" i="9"/>
  <c r="H113" i="9" s="1"/>
  <c r="H41" i="9"/>
  <c r="E74" i="9"/>
  <c r="E272" i="9"/>
  <c r="F272" i="9" s="1"/>
  <c r="L272" i="9" s="1"/>
  <c r="H195" i="9" s="1"/>
  <c r="E269" i="9"/>
  <c r="F269" i="9" s="1"/>
  <c r="L269" i="9" s="1"/>
  <c r="E79" i="9" l="1"/>
  <c r="F74" i="9"/>
  <c r="F79" i="9" s="1"/>
  <c r="M78" i="9" s="1"/>
  <c r="H197" i="9"/>
  <c r="H121" i="9" s="1"/>
  <c r="H114" i="9"/>
  <c r="H196" i="9"/>
  <c r="H166" i="9" s="1"/>
  <c r="I113" i="9"/>
  <c r="H134" i="9"/>
  <c r="H187" i="9" s="1"/>
  <c r="H117" i="9"/>
  <c r="E268" i="9"/>
  <c r="F268" i="9" s="1"/>
  <c r="E270" i="9"/>
  <c r="F270" i="9" s="1"/>
  <c r="L270" i="9" s="1"/>
  <c r="H168" i="9" l="1"/>
  <c r="H206" i="9" s="1"/>
  <c r="F300" i="9"/>
  <c r="F310" i="9" s="1"/>
  <c r="I114" i="9"/>
  <c r="I196" i="9"/>
  <c r="I166" i="9" s="1"/>
  <c r="I134" i="9"/>
  <c r="I187" i="9" s="1"/>
  <c r="J113" i="9"/>
  <c r="I117" i="9"/>
  <c r="H198" i="9"/>
  <c r="H115" i="9"/>
  <c r="H119" i="9" s="1"/>
  <c r="H135" i="9"/>
  <c r="H188" i="9" s="1"/>
  <c r="H143" i="9"/>
  <c r="H189" i="9" s="1"/>
  <c r="H161" i="9"/>
  <c r="F301" i="9"/>
  <c r="I51" i="9"/>
  <c r="J51" i="9" s="1"/>
  <c r="K51" i="9" s="1"/>
  <c r="L51" i="9" s="1"/>
  <c r="M51" i="9" s="1"/>
  <c r="N51" i="9" s="1"/>
  <c r="H157" i="9"/>
  <c r="G157" i="9" s="1"/>
  <c r="F157" i="9" s="1"/>
  <c r="E157" i="9" s="1"/>
  <c r="D157" i="9" s="1"/>
  <c r="H130" i="9"/>
  <c r="I130" i="9" s="1"/>
  <c r="J130" i="9" s="1"/>
  <c r="K130" i="9" s="1"/>
  <c r="L130" i="9" s="1"/>
  <c r="M130" i="9" s="1"/>
  <c r="N130" i="9" s="1"/>
  <c r="H84" i="9"/>
  <c r="I84" i="9" s="1"/>
  <c r="J84" i="9" s="1"/>
  <c r="K84" i="9" s="1"/>
  <c r="L84" i="9" s="1"/>
  <c r="M84" i="9" s="1"/>
  <c r="N84" i="9" s="1"/>
  <c r="H111" i="9"/>
  <c r="I111" i="9" s="1"/>
  <c r="J111" i="9" s="1"/>
  <c r="K111" i="9" s="1"/>
  <c r="L111" i="9" s="1"/>
  <c r="M111" i="9" s="1"/>
  <c r="N111" i="9" s="1"/>
  <c r="A21" i="9"/>
  <c r="A20" i="9"/>
  <c r="A27" i="9"/>
  <c r="A2" i="9"/>
  <c r="A8" i="9"/>
  <c r="H190" i="9" l="1"/>
  <c r="H192" i="9" s="1"/>
  <c r="F302" i="9" s="1"/>
  <c r="I143" i="9"/>
  <c r="I189" i="9" s="1"/>
  <c r="I135" i="9"/>
  <c r="I188" i="9" s="1"/>
  <c r="H122" i="9"/>
  <c r="H98" i="9"/>
  <c r="H99" i="9" s="1"/>
  <c r="I115" i="9"/>
  <c r="I119" i="9" s="1"/>
  <c r="I98" i="9" s="1"/>
  <c r="I99" i="9" s="1"/>
  <c r="I168" i="9"/>
  <c r="I206" i="9" s="1"/>
  <c r="G300" i="9"/>
  <c r="G310" i="9" s="1"/>
  <c r="J196" i="9"/>
  <c r="J166" i="9" s="1"/>
  <c r="J134" i="9"/>
  <c r="J187" i="9" s="1"/>
  <c r="J114" i="9"/>
  <c r="J117" i="9"/>
  <c r="K113" i="9"/>
  <c r="I195" i="9"/>
  <c r="H137" i="9"/>
  <c r="I157" i="9"/>
  <c r="J157" i="9" s="1"/>
  <c r="K157" i="9" s="1"/>
  <c r="L157" i="9" s="1"/>
  <c r="M157" i="9" s="1"/>
  <c r="N157" i="9" s="1"/>
  <c r="G130" i="9"/>
  <c r="F130" i="9" s="1"/>
  <c r="E130" i="9" s="1"/>
  <c r="D130" i="9" s="1"/>
  <c r="G111" i="9"/>
  <c r="F111" i="9" s="1"/>
  <c r="E111" i="9" s="1"/>
  <c r="D111" i="9" s="1"/>
  <c r="C12" i="7"/>
  <c r="C15" i="7"/>
  <c r="I190" i="9" l="1"/>
  <c r="I192" i="9" s="1"/>
  <c r="I162" i="9" s="1"/>
  <c r="H162" i="9"/>
  <c r="J115" i="9"/>
  <c r="J119" i="9" s="1"/>
  <c r="J98" i="9" s="1"/>
  <c r="J99" i="9" s="1"/>
  <c r="J143" i="9"/>
  <c r="J189" i="9" s="1"/>
  <c r="J135" i="9"/>
  <c r="J188" i="9" s="1"/>
  <c r="I197" i="9"/>
  <c r="I198" i="9" s="1"/>
  <c r="K196" i="9"/>
  <c r="K166" i="9" s="1"/>
  <c r="K134" i="9"/>
  <c r="K187" i="9" s="1"/>
  <c r="K117" i="9"/>
  <c r="L113" i="9"/>
  <c r="K114" i="9"/>
  <c r="J168" i="9"/>
  <c r="J206" i="9" s="1"/>
  <c r="H300" i="9"/>
  <c r="H310" i="9" s="1"/>
  <c r="F298" i="9"/>
  <c r="F299" i="9" s="1"/>
  <c r="F303" i="9" s="1"/>
  <c r="F305" i="9" s="1"/>
  <c r="H97" i="9"/>
  <c r="G302" i="9" l="1"/>
  <c r="I121" i="9"/>
  <c r="G301" i="9" s="1"/>
  <c r="F306" i="9"/>
  <c r="J190" i="9"/>
  <c r="J192" i="9" s="1"/>
  <c r="J162" i="9" s="1"/>
  <c r="L196" i="9"/>
  <c r="L166" i="9" s="1"/>
  <c r="L134" i="9"/>
  <c r="L187" i="9" s="1"/>
  <c r="L114" i="9"/>
  <c r="L117" i="9"/>
  <c r="M113" i="9"/>
  <c r="J195" i="9"/>
  <c r="J197" i="9" s="1"/>
  <c r="J198" i="9" s="1"/>
  <c r="I137" i="9"/>
  <c r="K115" i="9"/>
  <c r="K119" i="9" s="1"/>
  <c r="K98" i="9" s="1"/>
  <c r="K99" i="9" s="1"/>
  <c r="K135" i="9"/>
  <c r="K188" i="9" s="1"/>
  <c r="K143" i="9"/>
  <c r="K189" i="9" s="1"/>
  <c r="K168" i="9"/>
  <c r="K206" i="9" s="1"/>
  <c r="I300" i="9"/>
  <c r="I310" i="9" s="1"/>
  <c r="I122" i="9"/>
  <c r="I161" i="9"/>
  <c r="H302" i="9" l="1"/>
  <c r="K190" i="9"/>
  <c r="K192" i="9" s="1"/>
  <c r="K162" i="9" s="1"/>
  <c r="I97" i="9"/>
  <c r="G298" i="9"/>
  <c r="G299" i="9" s="1"/>
  <c r="G303" i="9" s="1"/>
  <c r="G305" i="9" s="1"/>
  <c r="M196" i="9"/>
  <c r="M166" i="9" s="1"/>
  <c r="M134" i="9"/>
  <c r="M187" i="9" s="1"/>
  <c r="M114" i="9"/>
  <c r="M115" i="9" s="1"/>
  <c r="M117" i="9"/>
  <c r="N113" i="9"/>
  <c r="L168" i="9"/>
  <c r="L206" i="9" s="1"/>
  <c r="J300" i="9"/>
  <c r="J310" i="9" s="1"/>
  <c r="K195" i="9"/>
  <c r="K197" i="9" s="1"/>
  <c r="K198" i="9" s="1"/>
  <c r="J137" i="9"/>
  <c r="L115" i="9"/>
  <c r="L119" i="9" s="1"/>
  <c r="L98" i="9" s="1"/>
  <c r="L99" i="9" s="1"/>
  <c r="L143" i="9"/>
  <c r="L189" i="9" s="1"/>
  <c r="L135" i="9"/>
  <c r="L188" i="9" s="1"/>
  <c r="L190" i="9" s="1"/>
  <c r="L192" i="9" s="1"/>
  <c r="J121" i="9"/>
  <c r="H301" i="9" s="1"/>
  <c r="G306" i="9" l="1"/>
  <c r="I302" i="9"/>
  <c r="J302" i="9"/>
  <c r="L162" i="9"/>
  <c r="M143" i="9"/>
  <c r="M189" i="9" s="1"/>
  <c r="M135" i="9"/>
  <c r="M188" i="9" s="1"/>
  <c r="M119" i="9"/>
  <c r="M98" i="9" s="1"/>
  <c r="M99" i="9" s="1"/>
  <c r="L195" i="9"/>
  <c r="K137" i="9"/>
  <c r="N196" i="9"/>
  <c r="N166" i="9" s="1"/>
  <c r="N134" i="9"/>
  <c r="N187" i="9" s="1"/>
  <c r="N117" i="9"/>
  <c r="N114" i="9"/>
  <c r="M168" i="9"/>
  <c r="M206" i="9" s="1"/>
  <c r="K300" i="9"/>
  <c r="K310" i="9" s="1"/>
  <c r="J122" i="9"/>
  <c r="H298" i="9" s="1"/>
  <c r="H299" i="9" s="1"/>
  <c r="H303" i="9" s="1"/>
  <c r="H305" i="9" s="1"/>
  <c r="H306" i="9" s="1"/>
  <c r="J161" i="9"/>
  <c r="M190" i="9" l="1"/>
  <c r="M192" i="9" s="1"/>
  <c r="K302" i="9" s="1"/>
  <c r="N115" i="9"/>
  <c r="N119" i="9" s="1"/>
  <c r="N98" i="9" s="1"/>
  <c r="N99" i="9" s="1"/>
  <c r="N135" i="9"/>
  <c r="N188" i="9" s="1"/>
  <c r="N143" i="9"/>
  <c r="N189" i="9" s="1"/>
  <c r="L197" i="9"/>
  <c r="L198" i="9" s="1"/>
  <c r="J97" i="9"/>
  <c r="N168" i="9"/>
  <c r="N206" i="9" s="1"/>
  <c r="L300" i="9"/>
  <c r="L310" i="9" s="1"/>
  <c r="K121" i="9"/>
  <c r="I301" i="9" s="1"/>
  <c r="N190" i="9" l="1"/>
  <c r="N192" i="9" s="1"/>
  <c r="N162" i="9" s="1"/>
  <c r="M162" i="9"/>
  <c r="M195" i="9"/>
  <c r="M197" i="9" s="1"/>
  <c r="M198" i="9" s="1"/>
  <c r="L137" i="9"/>
  <c r="K122" i="9"/>
  <c r="K161" i="9"/>
  <c r="L302" i="9" l="1"/>
  <c r="N195" i="9"/>
  <c r="N197" i="9" s="1"/>
  <c r="N198" i="9" s="1"/>
  <c r="N137" i="9" s="1"/>
  <c r="M137" i="9"/>
  <c r="K97" i="9"/>
  <c r="I298" i="9"/>
  <c r="I299" i="9" s="1"/>
  <c r="I303" i="9" s="1"/>
  <c r="I305" i="9" s="1"/>
  <c r="L121" i="9"/>
  <c r="J301" i="9" s="1"/>
  <c r="I306" i="9" l="1"/>
  <c r="L122" i="9"/>
  <c r="J298" i="9" s="1"/>
  <c r="J299" i="9" s="1"/>
  <c r="J303" i="9" s="1"/>
  <c r="J305" i="9" s="1"/>
  <c r="J306" i="9" s="1"/>
  <c r="L161" i="9"/>
  <c r="L97" i="9" l="1"/>
  <c r="M121" i="9"/>
  <c r="K301" i="9" s="1"/>
  <c r="M122" i="9" l="1"/>
  <c r="M161" i="9"/>
  <c r="M97" i="9" l="1"/>
  <c r="K298" i="9"/>
  <c r="K299" i="9" s="1"/>
  <c r="K303" i="9" s="1"/>
  <c r="K305" i="9" s="1"/>
  <c r="N121" i="9"/>
  <c r="L301" i="9" s="1"/>
  <c r="K306" i="9" l="1"/>
  <c r="N122" i="9"/>
  <c r="L298" i="9" s="1"/>
  <c r="N161" i="9"/>
  <c r="L299" i="9" l="1"/>
  <c r="L303" i="9" s="1"/>
  <c r="L305" i="9" s="1"/>
  <c r="L306" i="9" s="1"/>
  <c r="C319" i="9"/>
  <c r="C321" i="9" s="1"/>
  <c r="M305" i="9" s="1"/>
  <c r="N97" i="9"/>
  <c r="D37" i="9"/>
  <c r="M306" i="9" l="1"/>
  <c r="H320" i="9"/>
  <c r="D40" i="9"/>
  <c r="H63" i="9" s="1"/>
  <c r="E306" i="9"/>
  <c r="D41" i="9" l="1"/>
  <c r="D42" i="9" s="1"/>
  <c r="L320" i="9"/>
  <c r="M74" i="9"/>
  <c r="M76" i="9" s="1"/>
  <c r="M79" i="9" s="1"/>
  <c r="M80" i="9" s="1"/>
  <c r="G273" i="9" s="1"/>
  <c r="K273" i="9" s="1"/>
  <c r="L273" i="9" s="1"/>
  <c r="H138" i="9" s="1"/>
  <c r="I138" i="9" s="1"/>
  <c r="J138" i="9" s="1"/>
  <c r="K138" i="9" s="1"/>
  <c r="L138" i="9" s="1"/>
  <c r="M138" i="9" s="1"/>
  <c r="N138" i="9" s="1"/>
  <c r="G268" i="9"/>
  <c r="D33" i="9"/>
  <c r="D52" i="9"/>
  <c r="D53" i="9"/>
  <c r="D54" i="9"/>
  <c r="D55" i="9"/>
  <c r="D56" i="9"/>
  <c r="C57" i="9"/>
  <c r="D57" i="9"/>
  <c r="C58" i="9"/>
  <c r="D58" i="9"/>
  <c r="H67" i="9"/>
  <c r="C68" i="9"/>
  <c r="C69" i="9"/>
  <c r="H69" i="9"/>
  <c r="H86" i="9"/>
  <c r="I86" i="9"/>
  <c r="J86" i="9"/>
  <c r="K86" i="9"/>
  <c r="L86" i="9"/>
  <c r="M86" i="9"/>
  <c r="N86" i="9"/>
  <c r="H87" i="9"/>
  <c r="I87" i="9"/>
  <c r="J87" i="9"/>
  <c r="K87" i="9"/>
  <c r="L87" i="9"/>
  <c r="M87" i="9"/>
  <c r="N87" i="9"/>
  <c r="H88" i="9"/>
  <c r="I88" i="9"/>
  <c r="J88" i="9"/>
  <c r="K88" i="9"/>
  <c r="L88" i="9"/>
  <c r="M88" i="9"/>
  <c r="N88" i="9"/>
  <c r="G90" i="9"/>
  <c r="H90" i="9"/>
  <c r="I90" i="9"/>
  <c r="J90" i="9"/>
  <c r="K90" i="9"/>
  <c r="L90" i="9"/>
  <c r="M90" i="9"/>
  <c r="N90" i="9"/>
  <c r="G91" i="9"/>
  <c r="H91" i="9"/>
  <c r="I91" i="9"/>
  <c r="J91" i="9"/>
  <c r="K91" i="9"/>
  <c r="L91" i="9"/>
  <c r="M91" i="9"/>
  <c r="N91" i="9"/>
  <c r="H93" i="9"/>
  <c r="I93" i="9"/>
  <c r="J93" i="9"/>
  <c r="K93" i="9"/>
  <c r="L93" i="9"/>
  <c r="M93" i="9"/>
  <c r="N93" i="9"/>
  <c r="H94" i="9"/>
  <c r="I94" i="9"/>
  <c r="J94" i="9"/>
  <c r="K94" i="9"/>
  <c r="L94" i="9"/>
  <c r="M94" i="9"/>
  <c r="N94" i="9"/>
  <c r="H95" i="9"/>
  <c r="I95" i="9"/>
  <c r="J95" i="9"/>
  <c r="K95" i="9"/>
  <c r="L95" i="9"/>
  <c r="M95" i="9"/>
  <c r="N95" i="9"/>
  <c r="H100" i="9"/>
  <c r="I100" i="9"/>
  <c r="J100" i="9"/>
  <c r="K100" i="9"/>
  <c r="L100" i="9"/>
  <c r="M100" i="9"/>
  <c r="N100" i="9"/>
  <c r="H102" i="9"/>
  <c r="I102" i="9"/>
  <c r="J102" i="9"/>
  <c r="K102" i="9"/>
  <c r="L102" i="9"/>
  <c r="M102" i="9"/>
  <c r="N102" i="9"/>
  <c r="H103" i="9"/>
  <c r="I103" i="9"/>
  <c r="J103" i="9"/>
  <c r="K103" i="9"/>
  <c r="L103" i="9"/>
  <c r="M103" i="9"/>
  <c r="N103" i="9"/>
  <c r="H104" i="9"/>
  <c r="I104" i="9"/>
  <c r="J104" i="9"/>
  <c r="K104" i="9"/>
  <c r="L104" i="9"/>
  <c r="M104" i="9"/>
  <c r="N104" i="9"/>
  <c r="H105" i="9"/>
  <c r="I105" i="9"/>
  <c r="J105" i="9"/>
  <c r="K105" i="9"/>
  <c r="L105" i="9"/>
  <c r="M105" i="9"/>
  <c r="N105" i="9"/>
  <c r="H106" i="9"/>
  <c r="I106" i="9"/>
  <c r="J106" i="9"/>
  <c r="K106" i="9"/>
  <c r="L106" i="9"/>
  <c r="M106" i="9"/>
  <c r="N106" i="9"/>
  <c r="H107" i="9"/>
  <c r="I107" i="9"/>
  <c r="J107" i="9"/>
  <c r="K107" i="9"/>
  <c r="L107" i="9"/>
  <c r="M107" i="9"/>
  <c r="N107" i="9"/>
  <c r="H124" i="9"/>
  <c r="I124" i="9"/>
  <c r="J124" i="9"/>
  <c r="K124" i="9"/>
  <c r="L124" i="9"/>
  <c r="M124" i="9"/>
  <c r="N124" i="9"/>
  <c r="H125" i="9"/>
  <c r="I125" i="9"/>
  <c r="J125" i="9"/>
  <c r="K125" i="9"/>
  <c r="L125" i="9"/>
  <c r="M125" i="9"/>
  <c r="N125" i="9"/>
  <c r="H126" i="9"/>
  <c r="I126" i="9"/>
  <c r="J126" i="9"/>
  <c r="K126" i="9"/>
  <c r="L126" i="9"/>
  <c r="M126" i="9"/>
  <c r="N126" i="9"/>
  <c r="H133" i="9"/>
  <c r="I133" i="9"/>
  <c r="J133" i="9"/>
  <c r="K133" i="9"/>
  <c r="L133" i="9"/>
  <c r="M133" i="9"/>
  <c r="N133" i="9"/>
  <c r="H136" i="9"/>
  <c r="I136" i="9"/>
  <c r="J136" i="9"/>
  <c r="K136" i="9"/>
  <c r="L136" i="9"/>
  <c r="M136" i="9"/>
  <c r="N136" i="9"/>
  <c r="H139" i="9"/>
  <c r="I139" i="9"/>
  <c r="J139" i="9"/>
  <c r="K139" i="9"/>
  <c r="L139" i="9"/>
  <c r="M139" i="9"/>
  <c r="N139" i="9"/>
  <c r="H142" i="9"/>
  <c r="I142" i="9"/>
  <c r="J142" i="9"/>
  <c r="K142" i="9"/>
  <c r="L142" i="9"/>
  <c r="M142" i="9"/>
  <c r="N142" i="9"/>
  <c r="H144" i="9"/>
  <c r="I144" i="9"/>
  <c r="J144" i="9"/>
  <c r="K144" i="9"/>
  <c r="L144" i="9"/>
  <c r="M144" i="9"/>
  <c r="N144" i="9"/>
  <c r="H145" i="9"/>
  <c r="I145" i="9"/>
  <c r="J145" i="9"/>
  <c r="K145" i="9"/>
  <c r="L145" i="9"/>
  <c r="M145" i="9"/>
  <c r="N145" i="9"/>
  <c r="H146" i="9"/>
  <c r="I146" i="9"/>
  <c r="J146" i="9"/>
  <c r="K146" i="9"/>
  <c r="L146" i="9"/>
  <c r="M146" i="9"/>
  <c r="N146" i="9"/>
  <c r="H148" i="9"/>
  <c r="I148" i="9"/>
  <c r="J148" i="9"/>
  <c r="K148" i="9"/>
  <c r="L148" i="9"/>
  <c r="M148" i="9"/>
  <c r="N148" i="9"/>
  <c r="H149" i="9"/>
  <c r="I149" i="9"/>
  <c r="J149" i="9"/>
  <c r="K149" i="9"/>
  <c r="L149" i="9"/>
  <c r="M149" i="9"/>
  <c r="N149" i="9"/>
  <c r="H150" i="9"/>
  <c r="I150" i="9"/>
  <c r="J150" i="9"/>
  <c r="K150" i="9"/>
  <c r="L150" i="9"/>
  <c r="M150" i="9"/>
  <c r="N150" i="9"/>
  <c r="H151" i="9"/>
  <c r="I151" i="9"/>
  <c r="J151" i="9"/>
  <c r="K151" i="9"/>
  <c r="L151" i="9"/>
  <c r="M151" i="9"/>
  <c r="N151" i="9"/>
  <c r="H160" i="9"/>
  <c r="I160" i="9"/>
  <c r="J160" i="9"/>
  <c r="K160" i="9"/>
  <c r="L160" i="9"/>
  <c r="M160" i="9"/>
  <c r="N160" i="9"/>
  <c r="H163" i="9"/>
  <c r="I163" i="9"/>
  <c r="J163" i="9"/>
  <c r="K163" i="9"/>
  <c r="L163" i="9"/>
  <c r="M163" i="9"/>
  <c r="N163" i="9"/>
  <c r="H171" i="9"/>
  <c r="I171" i="9"/>
  <c r="J171" i="9"/>
  <c r="K171" i="9"/>
  <c r="L171" i="9"/>
  <c r="M171" i="9"/>
  <c r="N171" i="9"/>
  <c r="H172" i="9"/>
  <c r="I172" i="9"/>
  <c r="J172" i="9"/>
  <c r="K172" i="9"/>
  <c r="L172" i="9"/>
  <c r="M172" i="9"/>
  <c r="N172" i="9"/>
  <c r="H176" i="9"/>
  <c r="I176" i="9"/>
  <c r="J176" i="9"/>
  <c r="K176" i="9"/>
  <c r="L176" i="9"/>
  <c r="M176" i="9"/>
  <c r="N176" i="9"/>
  <c r="H178" i="9"/>
  <c r="I178" i="9"/>
  <c r="J178" i="9"/>
  <c r="K178" i="9"/>
  <c r="L178" i="9"/>
  <c r="M178" i="9"/>
  <c r="N178" i="9"/>
  <c r="H179" i="9"/>
  <c r="I179" i="9"/>
  <c r="J179" i="9"/>
  <c r="K179" i="9"/>
  <c r="L179" i="9"/>
  <c r="M179" i="9"/>
  <c r="N179" i="9"/>
  <c r="H180" i="9"/>
  <c r="I180" i="9"/>
  <c r="J180" i="9"/>
  <c r="K180" i="9"/>
  <c r="L180" i="9"/>
  <c r="M180" i="9"/>
  <c r="N180" i="9"/>
  <c r="H205" i="9"/>
  <c r="I205" i="9"/>
  <c r="J205" i="9"/>
  <c r="K205" i="9"/>
  <c r="L205" i="9"/>
  <c r="M205" i="9"/>
  <c r="N205" i="9"/>
  <c r="I207" i="9"/>
  <c r="J207" i="9"/>
  <c r="K207" i="9"/>
  <c r="L207" i="9"/>
  <c r="M207" i="9"/>
  <c r="N207" i="9"/>
  <c r="H209" i="9"/>
  <c r="I209" i="9"/>
  <c r="J209" i="9"/>
  <c r="K209" i="9"/>
  <c r="L209" i="9"/>
  <c r="M209" i="9"/>
  <c r="N209" i="9"/>
  <c r="H211" i="9"/>
  <c r="I211" i="9"/>
  <c r="J211" i="9"/>
  <c r="K211" i="9"/>
  <c r="L211" i="9"/>
  <c r="M211" i="9"/>
  <c r="N211" i="9"/>
  <c r="H212" i="9"/>
  <c r="I212" i="9"/>
  <c r="J212" i="9"/>
  <c r="K212" i="9"/>
  <c r="L212" i="9"/>
  <c r="M212" i="9"/>
  <c r="N212" i="9"/>
  <c r="H214" i="9"/>
  <c r="I214" i="9"/>
  <c r="J214" i="9"/>
  <c r="K214" i="9"/>
  <c r="L214" i="9"/>
  <c r="M214" i="9"/>
  <c r="N214" i="9"/>
  <c r="H215" i="9"/>
  <c r="I215" i="9"/>
  <c r="J215" i="9"/>
  <c r="K215" i="9"/>
  <c r="L215" i="9"/>
  <c r="M215" i="9"/>
  <c r="N215" i="9"/>
  <c r="H216" i="9"/>
  <c r="I216" i="9"/>
  <c r="J216" i="9"/>
  <c r="K216" i="9"/>
  <c r="L216" i="9"/>
  <c r="M216" i="9"/>
  <c r="N216" i="9"/>
  <c r="H218" i="9"/>
  <c r="I218" i="9"/>
  <c r="J218" i="9"/>
  <c r="K218" i="9"/>
  <c r="L218" i="9"/>
  <c r="M218" i="9"/>
  <c r="N218" i="9"/>
  <c r="I221" i="9"/>
  <c r="J221" i="9"/>
  <c r="K221" i="9"/>
  <c r="L221" i="9"/>
  <c r="M221" i="9"/>
  <c r="N221" i="9"/>
  <c r="H222" i="9"/>
  <c r="I222" i="9"/>
  <c r="J222" i="9"/>
  <c r="K222" i="9"/>
  <c r="L222" i="9"/>
  <c r="M222" i="9"/>
  <c r="N222" i="9"/>
  <c r="H223" i="9"/>
  <c r="I223" i="9"/>
  <c r="J223" i="9"/>
  <c r="K223" i="9"/>
  <c r="L223" i="9"/>
  <c r="M223" i="9"/>
  <c r="N223" i="9"/>
  <c r="H224" i="9"/>
  <c r="I224" i="9"/>
  <c r="J224" i="9"/>
  <c r="K224" i="9"/>
  <c r="L224" i="9"/>
  <c r="M224" i="9"/>
  <c r="N224" i="9"/>
  <c r="H226" i="9"/>
  <c r="I226" i="9"/>
  <c r="J226" i="9"/>
  <c r="K226" i="9"/>
  <c r="L226" i="9"/>
  <c r="M226" i="9"/>
  <c r="N226" i="9"/>
  <c r="I229" i="9"/>
  <c r="J229" i="9"/>
  <c r="K229" i="9"/>
  <c r="L229" i="9"/>
  <c r="M229" i="9"/>
  <c r="N229" i="9"/>
  <c r="I230" i="9"/>
  <c r="J230" i="9"/>
  <c r="K230" i="9"/>
  <c r="L230" i="9"/>
  <c r="M230" i="9"/>
  <c r="N230" i="9"/>
  <c r="H231" i="9"/>
  <c r="I231" i="9"/>
  <c r="J231" i="9"/>
  <c r="K231" i="9"/>
  <c r="L231" i="9"/>
  <c r="M231" i="9"/>
  <c r="N231" i="9"/>
  <c r="H232" i="9"/>
  <c r="I232" i="9"/>
  <c r="J232" i="9"/>
  <c r="K232" i="9"/>
  <c r="L232" i="9"/>
  <c r="M232" i="9"/>
  <c r="N232" i="9"/>
  <c r="H234" i="9"/>
  <c r="I234" i="9"/>
  <c r="J234" i="9"/>
  <c r="K234" i="9"/>
  <c r="L234" i="9"/>
  <c r="M234" i="9"/>
  <c r="N234" i="9"/>
  <c r="I237" i="9"/>
  <c r="J237" i="9"/>
  <c r="K237" i="9"/>
  <c r="L237" i="9"/>
  <c r="M237" i="9"/>
  <c r="N237" i="9"/>
  <c r="I238" i="9"/>
  <c r="J238" i="9"/>
  <c r="K238" i="9"/>
  <c r="L238" i="9"/>
  <c r="M238" i="9"/>
  <c r="N238" i="9"/>
  <c r="H239" i="9"/>
  <c r="I239" i="9"/>
  <c r="J239" i="9"/>
  <c r="K239" i="9"/>
  <c r="L239" i="9"/>
  <c r="M239" i="9"/>
  <c r="N239" i="9"/>
  <c r="H240" i="9"/>
  <c r="I240" i="9"/>
  <c r="J240" i="9"/>
  <c r="K240" i="9"/>
  <c r="L240" i="9"/>
  <c r="M240" i="9"/>
  <c r="N240" i="9"/>
  <c r="H242" i="9"/>
  <c r="I242" i="9"/>
  <c r="J242" i="9"/>
  <c r="K242" i="9"/>
  <c r="L242" i="9"/>
  <c r="M242" i="9"/>
  <c r="N242" i="9"/>
  <c r="I245" i="9"/>
  <c r="J245" i="9"/>
  <c r="K245" i="9"/>
  <c r="L245" i="9"/>
  <c r="M245" i="9"/>
  <c r="N245" i="9"/>
  <c r="I246" i="9"/>
  <c r="J246" i="9"/>
  <c r="K246" i="9"/>
  <c r="L246" i="9"/>
  <c r="M246" i="9"/>
  <c r="N246" i="9"/>
  <c r="H247" i="9"/>
  <c r="I247" i="9"/>
  <c r="J247" i="9"/>
  <c r="K247" i="9"/>
  <c r="L247" i="9"/>
  <c r="M247" i="9"/>
  <c r="N247" i="9"/>
  <c r="H248" i="9"/>
  <c r="I248" i="9"/>
  <c r="J248" i="9"/>
  <c r="K248" i="9"/>
  <c r="L248" i="9"/>
  <c r="M248" i="9"/>
  <c r="N248" i="9"/>
  <c r="H250" i="9"/>
  <c r="I250" i="9"/>
  <c r="J250" i="9"/>
  <c r="K250" i="9"/>
  <c r="L250" i="9"/>
  <c r="M250" i="9"/>
  <c r="N250" i="9"/>
  <c r="I253" i="9"/>
  <c r="J253" i="9"/>
  <c r="K253" i="9"/>
  <c r="L253" i="9"/>
  <c r="M253" i="9"/>
  <c r="N253" i="9"/>
  <c r="I254" i="9"/>
  <c r="J254" i="9"/>
  <c r="K254" i="9"/>
  <c r="L254" i="9"/>
  <c r="M254" i="9"/>
  <c r="N254" i="9"/>
  <c r="H255" i="9"/>
  <c r="I255" i="9"/>
  <c r="J255" i="9"/>
  <c r="K255" i="9"/>
  <c r="L255" i="9"/>
  <c r="M255" i="9"/>
  <c r="N255" i="9"/>
  <c r="H256" i="9"/>
  <c r="I256" i="9"/>
  <c r="J256" i="9"/>
  <c r="K256" i="9"/>
  <c r="L256" i="9"/>
  <c r="M256" i="9"/>
  <c r="N256" i="9"/>
  <c r="H258" i="9"/>
  <c r="I258" i="9"/>
  <c r="J258" i="9"/>
  <c r="K258" i="9"/>
  <c r="L258" i="9"/>
  <c r="M258" i="9"/>
  <c r="N258" i="9"/>
  <c r="H268" i="9"/>
  <c r="I268" i="9"/>
  <c r="K268" i="9"/>
  <c r="L268" i="9"/>
  <c r="L271" i="9"/>
  <c r="L274" i="9"/>
  <c r="H283" i="9"/>
  <c r="K283" i="9"/>
  <c r="L283" i="9"/>
  <c r="I284" i="9"/>
  <c r="K284" i="9"/>
  <c r="L284" i="9"/>
  <c r="L285" i="9"/>
  <c r="L286" i="9"/>
  <c r="F309" i="9"/>
  <c r="G309" i="9"/>
  <c r="H309" i="9"/>
  <c r="I309" i="9"/>
  <c r="J309" i="9"/>
  <c r="K309" i="9"/>
  <c r="L309" i="9"/>
  <c r="F311" i="9"/>
  <c r="G311" i="9"/>
  <c r="H311" i="9"/>
  <c r="I311" i="9"/>
  <c r="J311" i="9"/>
  <c r="K311" i="9"/>
  <c r="L311" i="9"/>
  <c r="F312" i="9"/>
  <c r="G312" i="9"/>
  <c r="H312" i="9"/>
  <c r="I312" i="9"/>
  <c r="J312" i="9"/>
  <c r="K312" i="9"/>
  <c r="L312" i="9"/>
  <c r="F314" i="9"/>
  <c r="G314" i="9"/>
  <c r="H314" i="9"/>
  <c r="I314" i="9"/>
  <c r="J314" i="9"/>
  <c r="K314" i="9"/>
  <c r="L314" i="9"/>
  <c r="M314" i="9"/>
  <c r="E315" i="9"/>
  <c r="F315" i="9"/>
  <c r="G315" i="9"/>
  <c r="H315" i="9"/>
  <c r="I315" i="9"/>
  <c r="J315" i="9"/>
  <c r="K315" i="9"/>
  <c r="L315" i="9"/>
  <c r="M315" i="9"/>
  <c r="H321" i="9"/>
  <c r="L321" i="9"/>
  <c r="C323" i="9"/>
  <c r="C324" i="9"/>
  <c r="C325" i="9"/>
  <c r="C331" i="9"/>
  <c r="F331" i="9"/>
  <c r="G331" i="9"/>
  <c r="H331" i="9"/>
  <c r="I331" i="9"/>
  <c r="J331" i="9"/>
  <c r="K331" i="9"/>
  <c r="L331" i="9"/>
  <c r="C332" i="9"/>
  <c r="F332" i="9"/>
  <c r="G332" i="9"/>
  <c r="H332" i="9"/>
  <c r="I332" i="9"/>
  <c r="J332" i="9"/>
  <c r="K332" i="9"/>
  <c r="L332" i="9"/>
  <c r="C333" i="9"/>
  <c r="F333" i="9"/>
  <c r="G333" i="9"/>
  <c r="H333" i="9"/>
  <c r="I333" i="9"/>
  <c r="J333" i="9"/>
  <c r="K333" i="9"/>
  <c r="L333" i="9"/>
  <c r="C334" i="9"/>
  <c r="E334" i="9"/>
  <c r="F334" i="9"/>
  <c r="G334" i="9"/>
  <c r="H334" i="9"/>
  <c r="I334" i="9"/>
  <c r="J334" i="9"/>
  <c r="K334" i="9"/>
  <c r="L334" i="9"/>
  <c r="M334" i="9"/>
  <c r="C336" i="9"/>
  <c r="B34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Select Case</t>
        </r>
      </text>
    </comment>
    <comment ref="D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available if target is a public company</t>
        </r>
      </text>
    </comment>
    <comment ref="G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Year over year growth rate</t>
        </r>
      </text>
    </comment>
    <comment ref="D1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All IRR and NPV anlaysis will be calculated to this date</t>
        </r>
      </text>
    </comment>
    <comment ref="G10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% of revenue</t>
        </r>
      </text>
    </comment>
    <comment ref="D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drives the headings on financial statements below</t>
        </r>
      </text>
    </comment>
    <comment ref="G1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% of revenue
</t>
        </r>
      </text>
    </comment>
    <comment ref="D1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the month of the year end. i.e. Jan=1, Dec=12.</t>
        </r>
      </text>
    </comment>
    <comment ref="G1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Fixed cost</t>
        </r>
      </text>
    </comment>
    <comment ref="D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the day of the month. i.e. 30 or 31</t>
        </r>
      </text>
    </comment>
    <comment ref="G1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revenue</t>
        </r>
      </text>
    </comment>
    <comment ref="G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only on COGS</t>
        </r>
      </text>
    </comment>
    <comment ref="G15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Function of COGS</t>
        </r>
      </text>
    </comment>
    <comment ref="G16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% of revenue
</t>
        </r>
      </text>
    </comment>
    <comment ref="G1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% of PPE opening balance</t>
        </r>
      </text>
    </comment>
    <comment ref="D18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Normalized and adjusted for valuation purposes</t>
        </r>
      </text>
    </comment>
    <comment ref="D22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Fees associated with early repayment of target's debt</t>
        </r>
      </text>
    </comment>
    <comment ref="D23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Minimum on balance sheet (and short fall funded with line of credit)</t>
        </r>
      </text>
    </comment>
    <comment ref="C47" authorId="0" shapeId="0" xr:uid="{00000000-0006-0000-0100-000013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 to override purchase price to be a per share value instead of EBITDA multiple</t>
        </r>
      </text>
    </comment>
    <comment ref="G51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% of available cash flow allocated to each piece of debt</t>
        </r>
      </text>
    </comment>
    <comment ref="B341" authorId="0" shapeId="0" xr:uid="{00000000-0006-0000-0100-000015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Linked cell for sensitivity analysis
</t>
        </r>
      </text>
    </comment>
    <comment ref="I341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Linked cell for sensitivity analysis</t>
        </r>
      </text>
    </comment>
    <comment ref="B351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Linked cell for sensitivity analysis
</t>
        </r>
      </text>
    </comment>
    <comment ref="I351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Linked cell for sensitivity analysis</t>
        </r>
      </text>
    </comment>
  </commentList>
</comments>
</file>

<file path=xl/sharedStrings.xml><?xml version="1.0" encoding="utf-8"?>
<sst xmlns="http://schemas.openxmlformats.org/spreadsheetml/2006/main" count="360" uniqueCount="251">
  <si>
    <t>Target</t>
  </si>
  <si>
    <t>EBITDA</t>
  </si>
  <si>
    <t>EBIT</t>
  </si>
  <si>
    <t>Transaction</t>
  </si>
  <si>
    <t>Revenue</t>
  </si>
  <si>
    <t>© Corporate Finance Institute. All rights reserved.</t>
  </si>
  <si>
    <t>Assumptions</t>
  </si>
  <si>
    <t>Income Statement</t>
  </si>
  <si>
    <t>Cost of Goods Sold (COGS)</t>
  </si>
  <si>
    <t>Gross Profit</t>
  </si>
  <si>
    <t>Depreciation &amp; Amortization</t>
  </si>
  <si>
    <t>Interest</t>
  </si>
  <si>
    <t>Net Earnings</t>
  </si>
  <si>
    <t>Balance Sheet</t>
  </si>
  <si>
    <t>Assets</t>
  </si>
  <si>
    <t>Cash</t>
  </si>
  <si>
    <t>Accounts Receivable</t>
  </si>
  <si>
    <t>Inventory</t>
  </si>
  <si>
    <t>Property &amp; Equipment</t>
  </si>
  <si>
    <t>Total Assets</t>
  </si>
  <si>
    <t>Liabilities</t>
  </si>
  <si>
    <t>Accounts Payable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</si>
  <si>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</si>
  <si>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</si>
  <si>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</si>
  <si>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</si>
  <si>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</si>
  <si>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</si>
  <si>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Cash Flow Statement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</si>
  <si>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</si>
  <si>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</si>
  <si>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</si>
  <si>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</si>
  <si>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</si>
  <si>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</si>
  <si>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</si>
  <si>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</si>
  <si>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Cash from Financing</t>
  </si>
  <si>
    <t>Net Increase (decrease) in Cash</t>
  </si>
  <si>
    <t>Opening Cash Balance</t>
  </si>
  <si>
    <t>Closing Cash Balance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</si>
  <si>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</si>
  <si>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</si>
  <si>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</si>
  <si>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</si>
  <si>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</si>
  <si>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</si>
  <si>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</si>
  <si>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</si>
  <si>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Interest Expense</t>
  </si>
  <si>
    <t>Tax Rate</t>
  </si>
  <si>
    <t>Enterprise Value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</si>
  <si>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</si>
  <si>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</si>
  <si>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</si>
  <si>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Notes</t>
  </si>
  <si>
    <t>Financing</t>
  </si>
  <si>
    <t>Cash Consideration</t>
  </si>
  <si>
    <t>Financial Reporting Units</t>
  </si>
  <si>
    <t>Currency</t>
  </si>
  <si>
    <t>Purchase Price</t>
  </si>
  <si>
    <t>Sources &amp; Uses of Cash</t>
  </si>
  <si>
    <t>Sources of Cash</t>
  </si>
  <si>
    <t>Other Closing Costs</t>
  </si>
  <si>
    <t>Total Sources</t>
  </si>
  <si>
    <t>Goodwill and Purchase Price Allocation</t>
  </si>
  <si>
    <t>Fair Market Value</t>
  </si>
  <si>
    <t>Identifiable Intangibles</t>
  </si>
  <si>
    <t>Book Value</t>
  </si>
  <si>
    <t>Fair Value</t>
  </si>
  <si>
    <t>Current Assets</t>
  </si>
  <si>
    <t>Short Term Debt</t>
  </si>
  <si>
    <t>Long Term Debt</t>
  </si>
  <si>
    <t>Current Liabilities</t>
  </si>
  <si>
    <t>Adjustment</t>
  </si>
  <si>
    <t>Purchase Price Allocation</t>
  </si>
  <si>
    <t>Net Book Value of Assets</t>
  </si>
  <si>
    <t>Excess Purchase Price</t>
  </si>
  <si>
    <t>Fair Value Adjustments</t>
  </si>
  <si>
    <t>Excess Purchase Price After Adjustments</t>
  </si>
  <si>
    <t xml:space="preserve">Goodwill </t>
  </si>
  <si>
    <t>Restructuring Charges</t>
  </si>
  <si>
    <t>Total Purchase Price</t>
  </si>
  <si>
    <t>Write-off Existing Goodwill</t>
  </si>
  <si>
    <t>Transaction Close Date</t>
  </si>
  <si>
    <t>Purchase</t>
  </si>
  <si>
    <t>Goodwill</t>
  </si>
  <si>
    <t>Total Adj.</t>
  </si>
  <si>
    <t>Step #</t>
  </si>
  <si>
    <t>Cost of Goods Sold</t>
  </si>
  <si>
    <t>General &amp; Administrative</t>
  </si>
  <si>
    <t>Marketing, Advertising &amp; Promotion</t>
  </si>
  <si>
    <t>Investments in Businesses</t>
  </si>
  <si>
    <t>Opening Balance</t>
  </si>
  <si>
    <t>Closing Balance</t>
  </si>
  <si>
    <t>Closing Balance Sheet</t>
  </si>
  <si>
    <t>Table of Contents</t>
  </si>
  <si>
    <t>Strictly Confidential</t>
  </si>
  <si>
    <t>Total Debt</t>
  </si>
  <si>
    <t xml:space="preserve">Total </t>
  </si>
  <si>
    <t>Payment of Dividends</t>
  </si>
  <si>
    <t>Uses of Cash</t>
  </si>
  <si>
    <t>Stock Consideration</t>
  </si>
  <si>
    <t>Target Debt - Replace</t>
  </si>
  <si>
    <t>Debt Financing Fees</t>
  </si>
  <si>
    <t>Equity Financing Fees</t>
  </si>
  <si>
    <t>Total Uses</t>
  </si>
  <si>
    <t>Debt + Equity</t>
  </si>
  <si>
    <t>Fees</t>
  </si>
  <si>
    <t>Re-fi Debt</t>
  </si>
  <si>
    <t>Pro Forma Consolidated Balance Sheet</t>
  </si>
  <si>
    <t>LBO Target Name</t>
  </si>
  <si>
    <t>Revenue Growth Rate</t>
  </si>
  <si>
    <t>Marketing &amp; Advertising</t>
  </si>
  <si>
    <t>General &amp; Admin (fixed costs)</t>
  </si>
  <si>
    <t>Inventory Days</t>
  </si>
  <si>
    <t>Accounts Payable Days</t>
  </si>
  <si>
    <t>Accounts Receivable Days</t>
  </si>
  <si>
    <t>Property, Plant &amp; Equipment</t>
  </si>
  <si>
    <t>Exit EV/EBITDA</t>
  </si>
  <si>
    <t>Less: Total Debt</t>
  </si>
  <si>
    <t>Plus: Cash Balance</t>
  </si>
  <si>
    <t>Equity Offer Value</t>
  </si>
  <si>
    <t>$/Share</t>
  </si>
  <si>
    <t>Premium (Discount)</t>
  </si>
  <si>
    <t>Term Loan 1</t>
  </si>
  <si>
    <t>Term Loan 2</t>
  </si>
  <si>
    <t>Line of Credit</t>
  </si>
  <si>
    <t>Type</t>
  </si>
  <si>
    <t>% of Total</t>
  </si>
  <si>
    <t>$ Value</t>
  </si>
  <si>
    <t>x EBITDA</t>
  </si>
  <si>
    <t>Credit Metrics</t>
  </si>
  <si>
    <t>Coupon</t>
  </si>
  <si>
    <t>Financing Fee</t>
  </si>
  <si>
    <t>Sponsor Equity</t>
  </si>
  <si>
    <t>General Inputs</t>
  </si>
  <si>
    <t>Normalized EBITDA for valuation</t>
  </si>
  <si>
    <t>Cash (target)</t>
  </si>
  <si>
    <t>Debt &amp; Interest Schedules</t>
  </si>
  <si>
    <t>Plus: Additions</t>
  </si>
  <si>
    <t>Less: Repayments</t>
  </si>
  <si>
    <t>Total Interest Expense</t>
  </si>
  <si>
    <t>Sweep</t>
  </si>
  <si>
    <t>Less: Required Repayments</t>
  </si>
  <si>
    <t>Less: Discretionary Repayments</t>
  </si>
  <si>
    <t>Interest Expense (avg balance)</t>
  </si>
  <si>
    <t>Minimum Cash Balance</t>
  </si>
  <si>
    <t>TOTAL LONG TERM DEBT</t>
  </si>
  <si>
    <t>AV Adjust</t>
  </si>
  <si>
    <t>Identifiable Assets</t>
  </si>
  <si>
    <t>Closing</t>
  </si>
  <si>
    <t>Repayment of Debt</t>
  </si>
  <si>
    <t>Issuance of equity</t>
  </si>
  <si>
    <t>Repurchase of equity</t>
  </si>
  <si>
    <t>Total Debt/EBITDA</t>
  </si>
  <si>
    <t>Net Debt/EBITDA</t>
  </si>
  <si>
    <t>Close</t>
  </si>
  <si>
    <t>Net Debt</t>
  </si>
  <si>
    <t>EBIT/Interest</t>
  </si>
  <si>
    <t>Less: Cash used in Investing</t>
  </si>
  <si>
    <t>Issuance of Debt (line of credit)</t>
  </si>
  <si>
    <t>Plus: Issuance of Equity</t>
  </si>
  <si>
    <t>Cash Available for Discretionary Debt Repayments</t>
  </si>
  <si>
    <t>Total Cash Generated</t>
  </si>
  <si>
    <t>Plus: Cash Generated in Period</t>
  </si>
  <si>
    <t>Less: Minimum Cash Balance</t>
  </si>
  <si>
    <t>Cash Available before Revolver Pay Down</t>
  </si>
  <si>
    <t>Revolver Pay Down</t>
  </si>
  <si>
    <t>Cash Available After Revolver Pay Down</t>
  </si>
  <si>
    <t>DCF Analysis</t>
  </si>
  <si>
    <t>Exit</t>
  </si>
  <si>
    <t>Entry</t>
  </si>
  <si>
    <t>Less: Taxes</t>
  </si>
  <si>
    <t>Less: Capex</t>
  </si>
  <si>
    <t>Plus: D&amp;A</t>
  </si>
  <si>
    <t>Less: Changes in WC</t>
  </si>
  <si>
    <t>Unlevered Free Cash Flow (Free Cash Flow to the Firm)</t>
  </si>
  <si>
    <t>Less: Debt Repayment</t>
  </si>
  <si>
    <t>Levered Free Cash Flow (Free Cash Flow to Equity)</t>
  </si>
  <si>
    <t>Cash Used for Discretionary Payments</t>
  </si>
  <si>
    <t>Terminal Value</t>
  </si>
  <si>
    <t>Exit Year EBITDA</t>
  </si>
  <si>
    <t>Exit Multiple</t>
  </si>
  <si>
    <t>Plus: Cash</t>
  </si>
  <si>
    <t>Less: Debt</t>
  </si>
  <si>
    <t>Terminal Equity Value</t>
  </si>
  <si>
    <t>Terminal Enterprise Value</t>
  </si>
  <si>
    <t>DCF Value</t>
  </si>
  <si>
    <t>Equity Value</t>
  </si>
  <si>
    <t>Discount Rate</t>
  </si>
  <si>
    <t>NPV</t>
  </si>
  <si>
    <t>Internal Rate of Return</t>
  </si>
  <si>
    <t>Unlevered</t>
  </si>
  <si>
    <t>Levered</t>
  </si>
  <si>
    <t>Year Forecast Starts</t>
  </si>
  <si>
    <t>DCF Values</t>
  </si>
  <si>
    <t>IRR Values</t>
  </si>
  <si>
    <t>IRR by Investor Type</t>
  </si>
  <si>
    <t>Sub Debt 1</t>
  </si>
  <si>
    <t>Live Case -&gt;</t>
  </si>
  <si>
    <t>IRR</t>
  </si>
  <si>
    <t>Cash Flow</t>
  </si>
  <si>
    <t>Investor</t>
  </si>
  <si>
    <t>Cash used in Investing</t>
  </si>
  <si>
    <t>Cash from (in) Financing</t>
  </si>
  <si>
    <t>Cash Balance</t>
  </si>
  <si>
    <t>Debt/EBITDA</t>
  </si>
  <si>
    <t>Principle Repayments</t>
  </si>
  <si>
    <t>Total Debt Service</t>
  </si>
  <si>
    <t>EBITDA - Capex</t>
  </si>
  <si>
    <t>Debt Service Coverage (EBITDA)</t>
  </si>
  <si>
    <t>Charts &amp; Graphs</t>
  </si>
  <si>
    <t>Working Capital &amp; Depreciation</t>
  </si>
  <si>
    <t>Direct Purchase Price Override</t>
  </si>
  <si>
    <t>Error Checks</t>
  </si>
  <si>
    <t>Operating Balance Sheet Balances</t>
  </si>
  <si>
    <t>Transaction Balance Sheet Balances</t>
  </si>
  <si>
    <t>Sources and Uses of Cash Balance</t>
  </si>
  <si>
    <t>Error Checks -&gt;</t>
  </si>
  <si>
    <t>Acquisition Adjustments</t>
  </si>
  <si>
    <t>Less: Mandatory Debt Repayment</t>
  </si>
  <si>
    <t>Operating Scenarios</t>
  </si>
  <si>
    <t>Cases--&gt;</t>
  </si>
  <si>
    <t>Days in Year</t>
  </si>
  <si>
    <t>Capital Expenditures (% Rev)</t>
  </si>
  <si>
    <t>Depreciation Rate (% PPE)</t>
  </si>
  <si>
    <t>Fiscal Year End (Month)</t>
  </si>
  <si>
    <t>Fiscal Year End (Day)</t>
  </si>
  <si>
    <t>Cash Sweep can't be &gt;100% of Cash Flow</t>
  </si>
  <si>
    <t>Sponsor IRR -&gt;</t>
  </si>
  <si>
    <t>Debt Service Coverage (EBITDA - Capex) / (Interest + Principle)</t>
  </si>
  <si>
    <t>Debt Service Coverage (EBITDA) / (Interest + Principle)</t>
  </si>
  <si>
    <t>Fixed Charges</t>
  </si>
  <si>
    <t>Fixed Charge Coverage (EBITDA - Capex - Taxes ) / (Interest + Principle)</t>
  </si>
  <si>
    <t>Current Taxes</t>
  </si>
  <si>
    <t>Entry EV/EBITDA</t>
  </si>
  <si>
    <t>Debt Principle Repayment = 100%</t>
  </si>
  <si>
    <t>DCF &amp; Rates of Return</t>
  </si>
  <si>
    <t>Mandatory Principal Repayment (Loan Amortization)</t>
  </si>
  <si>
    <t>Company Inc.</t>
  </si>
  <si>
    <t>$ 000s</t>
  </si>
  <si>
    <t>USD</t>
  </si>
  <si>
    <t>na</t>
  </si>
  <si>
    <t xml:space="preserve"> Base Case </t>
  </si>
  <si>
    <t xml:space="preserve"> Upside Case </t>
  </si>
  <si>
    <t xml:space="preserve"> Downside Case </t>
  </si>
  <si>
    <t>OFF</t>
  </si>
  <si>
    <t>Sponsor IRR (Entry vs Exit Multiple)</t>
  </si>
  <si>
    <t>Sponsor Cash-on-Cash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</si>
</sst>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-* #,##0.00_-;\-* #,##0.00_-;_-* &quot;-&quot;??_-;_-@_-"/>
    <numFmt numFmtId="165" formatCode="0.0\x"/>
    <numFmt numFmtId="166" formatCode="_-* #,##0_-;\(#,##0\)_-;_-* &quot;-&quot;_-;_-@_-"/>
    <numFmt numFmtId="167" formatCode="_(* #,##0_);_(* \(#,##0\);_(* &quot;-&quot;??_);_(@_)"/>
    <numFmt numFmtId="168" formatCode="0.0%"/>
    <numFmt numFmtId="169" formatCode="0.0000_ ;\-0.0000\ "/>
    <numFmt numFmtId="170" formatCode="0.000"/>
    <numFmt numFmtId="171" formatCode="0\A"/>
    <numFmt numFmtId="172" formatCode="0\F"/>
    <numFmt numFmtId="173" formatCode="0.000_ ;\-0.000\ "/>
    <numFmt numFmtId="174" formatCode="_-* #,##0.00_-;\(#,##0.00\)_-;_-* &quot;-&quot;_-;_-@_-"/>
    <numFmt numFmtId="175" formatCode="0.00\x"/>
    <numFmt numFmtId="176" formatCode="_-* #,##0.0_-;\(#,##0.0\)_-;_-* &quot;-&quot;_-;_-@_-"/>
    <numFmt numFmtId="177" formatCode="0&quot;F&quot;"/>
    <numFmt numFmtId="178" formatCode="&quot;Year &quot;0"/>
  </numFmts>
  <fonts count="44">
    <font>
      <sz val="10"/>
      <name val="Arial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 Narrow"/>
      <family val="2"/>
    </font>
    <font>
      <sz val="12"/>
      <color rgb="FF0000FF"/>
      <name val="Arial Narrow"/>
      <family val="2"/>
    </font>
    <font>
      <sz val="8"/>
      <color theme="0"/>
      <name val="Arial Narrow"/>
      <family val="2"/>
    </font>
    <font>
      <sz val="12"/>
      <color theme="0"/>
      <name val="Arial Narrow"/>
      <family val="2"/>
    </font>
    <font>
      <b/>
      <sz val="16"/>
      <color theme="0"/>
      <name val="Arial Narrow"/>
      <family val="2"/>
    </font>
    <font>
      <b/>
      <sz val="14"/>
      <color theme="0"/>
      <name val="Arial Narrow"/>
      <family val="2"/>
    </font>
    <font>
      <i/>
      <sz val="12"/>
      <color theme="1"/>
      <name val="Arial Narrow"/>
      <family val="2"/>
    </font>
    <font>
      <sz val="12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i/>
      <sz val="12"/>
      <color rgb="FF0000FF"/>
      <name val="Arial Narrow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22"/>
      <color theme="1"/>
      <name val="Arial Narrow"/>
      <family val="2"/>
    </font>
    <font>
      <u/>
      <sz val="10"/>
      <color theme="1"/>
      <name val="Arial"/>
      <family val="2"/>
    </font>
    <font>
      <sz val="10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1"/>
      <name val="Arial Narrow"/>
      <family val="2"/>
    </font>
    <font>
      <b/>
      <sz val="12"/>
      <color theme="0"/>
      <name val="Arial Narro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ck">
        <color theme="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rgb="FFADC7ED"/>
      </left>
      <right style="dotted">
        <color rgb="FFADC7ED"/>
      </right>
      <top style="dotted">
        <color rgb="FFADC7ED"/>
      </top>
      <bottom style="dotted">
        <color rgb="FFADC7ED"/>
      </bottom>
      <diagonal/>
    </border>
    <border>
      <left/>
      <right style="thin">
        <color indexed="64"/>
      </right>
      <top/>
      <bottom/>
      <diagonal/>
    </border>
  </borders>
  <cellStyleXfs count="25">
    <xf numFmtId="0" fontId="0" fillId="0" borderId="0"/>
    <xf numFmtId="0" fontId="3" fillId="0" borderId="0" applyAlignment="0"/>
    <xf numFmtId="0" fontId="4" fillId="0" borderId="0" applyAlignment="0"/>
    <xf numFmtId="0" fontId="5" fillId="2" borderId="0" applyAlignment="0"/>
    <xf numFmtId="0" fontId="6" fillId="3" borderId="0" applyAlignment="0"/>
    <xf numFmtId="0" fontId="7" fillId="4" borderId="0" applyAlignment="0"/>
    <xf numFmtId="0" fontId="8" fillId="5" borderId="0" applyAlignment="0"/>
    <xf numFmtId="0" fontId="9" fillId="0" borderId="0" applyAlignment="0"/>
    <xf numFmtId="0" fontId="10" fillId="0" borderId="0" applyAlignment="0"/>
    <xf numFmtId="0" fontId="11" fillId="0" borderId="0" applyAlignment="0"/>
    <xf numFmtId="0" fontId="12" fillId="0" borderId="0" applyAlignment="0"/>
    <xf numFmtId="0" fontId="13" fillId="0" borderId="0" applyAlignment="0"/>
    <xf numFmtId="0" fontId="12" fillId="0" borderId="0" applyAlignment="0">
      <alignment wrapText="1"/>
    </xf>
    <xf numFmtId="0" fontId="14" fillId="0" borderId="0" applyAlignment="0"/>
    <xf numFmtId="0" fontId="15" fillId="0" borderId="0" applyAlignment="0"/>
    <xf numFmtId="0" fontId="16" fillId="0" borderId="0" applyAlignment="0"/>
    <xf numFmtId="0" fontId="17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190">
    <xf numFmtId="0" fontId="0" fillId="0" borderId="0" xfId="0" applyFont="1"/>
    <xf numFmtId="166" fontId="19" fillId="7" borderId="0" xfId="19" applyNumberFormat="1" applyFont="1" applyFill="1" applyProtection="1">
      <protection locked="0"/>
    </xf>
    <xf numFmtId="166" fontId="19" fillId="7" borderId="0" xfId="19" applyNumberFormat="1" applyFont="1" applyFill="1" applyAlignment="1" applyProtection="1">
      <alignment horizontal="center"/>
      <protection locked="0"/>
    </xf>
    <xf numFmtId="166" fontId="22" fillId="7" borderId="0" xfId="19" applyNumberFormat="1" applyFont="1" applyFill="1" applyAlignment="1" applyProtection="1">
      <alignment horizontal="centerContinuous"/>
      <protection locked="0"/>
    </xf>
    <xf numFmtId="166" fontId="19" fillId="0" borderId="0" xfId="19" applyNumberFormat="1" applyFont="1" applyProtection="1">
      <protection locked="0"/>
    </xf>
    <xf numFmtId="166" fontId="23" fillId="7" borderId="0" xfId="19" applyNumberFormat="1" applyFont="1" applyFill="1" applyAlignment="1" applyProtection="1">
      <protection locked="0"/>
    </xf>
    <xf numFmtId="166" fontId="24" fillId="7" borderId="0" xfId="19" applyNumberFormat="1" applyFont="1" applyFill="1" applyAlignment="1" applyProtection="1">
      <protection locked="0"/>
    </xf>
    <xf numFmtId="166" fontId="24" fillId="7" borderId="0" xfId="19" applyNumberFormat="1" applyFont="1" applyFill="1" applyAlignment="1" applyProtection="1">
      <alignment horizontal="center"/>
      <protection locked="0"/>
    </xf>
    <xf numFmtId="166" fontId="19" fillId="0" borderId="0" xfId="19" applyNumberFormat="1" applyFont="1" applyAlignment="1" applyProtection="1">
      <alignment horizontal="center"/>
      <protection locked="0"/>
    </xf>
    <xf numFmtId="166" fontId="25" fillId="0" borderId="0" xfId="19" applyNumberFormat="1" applyFont="1" applyAlignment="1" applyProtection="1">
      <alignment horizontal="right"/>
      <protection locked="0"/>
    </xf>
    <xf numFmtId="166" fontId="23" fillId="6" borderId="0" xfId="19" applyNumberFormat="1" applyFont="1" applyFill="1" applyBorder="1" applyProtection="1">
      <protection locked="0"/>
    </xf>
    <xf numFmtId="166" fontId="26" fillId="6" borderId="0" xfId="19" applyNumberFormat="1" applyFont="1" applyFill="1" applyBorder="1" applyProtection="1">
      <protection locked="0"/>
    </xf>
    <xf numFmtId="166" fontId="26" fillId="6" borderId="0" xfId="19" applyNumberFormat="1" applyFont="1" applyFill="1" applyBorder="1" applyAlignment="1" applyProtection="1">
      <alignment horizontal="center"/>
      <protection locked="0"/>
    </xf>
    <xf numFmtId="166" fontId="26" fillId="0" borderId="0" xfId="19" applyNumberFormat="1" applyFont="1" applyFill="1" applyProtection="1">
      <protection locked="0"/>
    </xf>
    <xf numFmtId="166" fontId="20" fillId="0" borderId="0" xfId="19" applyNumberFormat="1" applyFont="1" applyFill="1" applyProtection="1">
      <protection locked="0"/>
    </xf>
    <xf numFmtId="166" fontId="27" fillId="0" borderId="0" xfId="19" applyNumberFormat="1" applyFont="1" applyProtection="1">
      <protection locked="0"/>
    </xf>
    <xf numFmtId="166" fontId="19" fillId="0" borderId="1" xfId="19" applyNumberFormat="1" applyFont="1" applyBorder="1" applyProtection="1">
      <protection locked="0"/>
    </xf>
    <xf numFmtId="166" fontId="27" fillId="0" borderId="1" xfId="19" applyNumberFormat="1" applyFont="1" applyBorder="1" applyProtection="1">
      <protection locked="0"/>
    </xf>
    <xf numFmtId="166" fontId="27" fillId="0" borderId="1" xfId="19" applyNumberFormat="1" applyFont="1" applyBorder="1" applyAlignment="1" applyProtection="1">
      <alignment horizontal="center"/>
      <protection locked="0"/>
    </xf>
    <xf numFmtId="166" fontId="19" fillId="0" borderId="0" xfId="19" applyNumberFormat="1" applyFont="1" applyBorder="1" applyProtection="1">
      <protection locked="0"/>
    </xf>
    <xf numFmtId="166" fontId="19" fillId="0" borderId="0" xfId="19" applyNumberFormat="1" applyFont="1" applyBorder="1" applyAlignment="1" applyProtection="1">
      <alignment horizontal="center"/>
      <protection locked="0"/>
    </xf>
    <xf numFmtId="166" fontId="26" fillId="0" borderId="0" xfId="19" applyNumberFormat="1" applyFont="1" applyFill="1" applyBorder="1" applyProtection="1">
      <protection locked="0"/>
    </xf>
    <xf numFmtId="166" fontId="27" fillId="0" borderId="0" xfId="19" applyNumberFormat="1" applyFont="1" applyBorder="1" applyProtection="1">
      <protection locked="0"/>
    </xf>
    <xf numFmtId="166" fontId="27" fillId="0" borderId="0" xfId="19" applyNumberFormat="1" applyFont="1" applyBorder="1" applyAlignment="1" applyProtection="1">
      <alignment horizontal="center"/>
      <protection locked="0"/>
    </xf>
    <xf numFmtId="166" fontId="29" fillId="0" borderId="0" xfId="19" applyNumberFormat="1" applyFont="1" applyBorder="1" applyProtection="1">
      <protection locked="0"/>
    </xf>
    <xf numFmtId="166" fontId="28" fillId="0" borderId="0" xfId="19" applyNumberFormat="1" applyFont="1" applyBorder="1" applyProtection="1">
      <protection locked="0"/>
    </xf>
    <xf numFmtId="166" fontId="27" fillId="0" borderId="0" xfId="19" applyNumberFormat="1" applyFont="1" applyAlignment="1" applyProtection="1">
      <alignment horizontal="center"/>
      <protection locked="0"/>
    </xf>
    <xf numFmtId="166" fontId="29" fillId="0" borderId="0" xfId="19" applyNumberFormat="1" applyFont="1" applyProtection="1">
      <protection locked="0"/>
    </xf>
    <xf numFmtId="166" fontId="27" fillId="0" borderId="0" xfId="19" applyNumberFormat="1" applyFont="1" applyFill="1" applyProtection="1">
      <protection locked="0"/>
    </xf>
    <xf numFmtId="166" fontId="20" fillId="0" borderId="0" xfId="19" applyNumberFormat="1" applyFont="1" applyBorder="1" applyProtection="1">
      <protection locked="0"/>
    </xf>
    <xf numFmtId="166" fontId="28" fillId="0" borderId="1" xfId="19" applyNumberFormat="1" applyFont="1" applyBorder="1" applyProtection="1">
      <protection locked="0"/>
    </xf>
    <xf numFmtId="9" fontId="29" fillId="0" borderId="0" xfId="20" applyFont="1" applyBorder="1" applyProtection="1">
      <protection locked="0"/>
    </xf>
    <xf numFmtId="166" fontId="20" fillId="0" borderId="0" xfId="19" applyNumberFormat="1" applyFont="1" applyProtection="1">
      <protection locked="0"/>
    </xf>
    <xf numFmtId="166" fontId="19" fillId="0" borderId="0" xfId="19" applyNumberFormat="1" applyFont="1" applyFill="1" applyProtection="1">
      <protection locked="0"/>
    </xf>
    <xf numFmtId="166" fontId="27" fillId="0" borderId="3" xfId="19" applyNumberFormat="1" applyFont="1" applyBorder="1" applyProtection="1">
      <protection locked="0"/>
    </xf>
    <xf numFmtId="166" fontId="27" fillId="0" borderId="3" xfId="19" applyNumberFormat="1" applyFont="1" applyBorder="1" applyAlignment="1" applyProtection="1">
      <alignment horizontal="center"/>
      <protection locked="0"/>
    </xf>
    <xf numFmtId="166" fontId="28" fillId="0" borderId="3" xfId="19" applyNumberFormat="1" applyFont="1" applyBorder="1" applyProtection="1">
      <protection locked="0"/>
    </xf>
    <xf numFmtId="0" fontId="2" fillId="0" borderId="0" xfId="21" applyProtection="1">
      <protection locked="0"/>
    </xf>
    <xf numFmtId="166" fontId="27" fillId="0" borderId="4" xfId="19" applyNumberFormat="1" applyFont="1" applyBorder="1" applyProtection="1">
      <protection locked="0"/>
    </xf>
    <xf numFmtId="166" fontId="27" fillId="0" borderId="4" xfId="19" applyNumberFormat="1" applyFont="1" applyBorder="1" applyAlignment="1" applyProtection="1">
      <alignment horizontal="center"/>
      <protection locked="0"/>
    </xf>
    <xf numFmtId="166" fontId="28" fillId="0" borderId="4" xfId="19" applyNumberFormat="1" applyFont="1" applyBorder="1" applyProtection="1">
      <protection locked="0"/>
    </xf>
    <xf numFmtId="166" fontId="25" fillId="0" borderId="0" xfId="19" applyNumberFormat="1" applyFont="1" applyProtection="1">
      <protection locked="0"/>
    </xf>
    <xf numFmtId="169" fontId="25" fillId="0" borderId="0" xfId="19" applyNumberFormat="1" applyFont="1" applyProtection="1">
      <protection locked="0"/>
    </xf>
    <xf numFmtId="169" fontId="25" fillId="0" borderId="0" xfId="19" applyNumberFormat="1" applyFont="1" applyAlignment="1" applyProtection="1">
      <alignment horizontal="center"/>
      <protection locked="0"/>
    </xf>
    <xf numFmtId="166" fontId="19" fillId="0" borderId="1" xfId="19" applyNumberFormat="1" applyFont="1" applyBorder="1" applyAlignment="1" applyProtection="1">
      <alignment horizontal="center"/>
      <protection locked="0"/>
    </xf>
    <xf numFmtId="166" fontId="26" fillId="0" borderId="0" xfId="19" applyNumberFormat="1" applyFont="1" applyBorder="1" applyProtection="1">
      <protection locked="0"/>
    </xf>
    <xf numFmtId="166" fontId="26" fillId="0" borderId="1" xfId="19" applyNumberFormat="1" applyFont="1" applyBorder="1" applyProtection="1">
      <protection locked="0"/>
    </xf>
    <xf numFmtId="166" fontId="26" fillId="0" borderId="0" xfId="19" applyNumberFormat="1" applyFont="1" applyProtection="1">
      <protection locked="0"/>
    </xf>
    <xf numFmtId="166" fontId="28" fillId="0" borderId="0" xfId="19" applyNumberFormat="1" applyFont="1" applyProtection="1">
      <protection locked="0"/>
    </xf>
    <xf numFmtId="166" fontId="20" fillId="0" borderId="1" xfId="19" applyNumberFormat="1" applyFont="1" applyBorder="1" applyProtection="1">
      <protection locked="0"/>
    </xf>
    <xf numFmtId="14" fontId="20" fillId="0" borderId="0" xfId="19" applyNumberFormat="1" applyFont="1" applyProtection="1">
      <protection locked="0"/>
    </xf>
    <xf numFmtId="166" fontId="27" fillId="0" borderId="0" xfId="19" applyNumberFormat="1" applyFont="1" applyFill="1" applyAlignment="1" applyProtection="1">
      <alignment horizontal="right"/>
      <protection locked="0"/>
    </xf>
    <xf numFmtId="166" fontId="27" fillId="0" borderId="1" xfId="19" applyNumberFormat="1" applyFont="1" applyFill="1" applyBorder="1" applyProtection="1">
      <protection locked="0"/>
    </xf>
    <xf numFmtId="166" fontId="19" fillId="0" borderId="0" xfId="19" applyNumberFormat="1" applyFont="1" applyAlignment="1" applyProtection="1">
      <alignment horizontal="right"/>
      <protection locked="0"/>
    </xf>
    <xf numFmtId="166" fontId="20" fillId="0" borderId="0" xfId="19" applyNumberFormat="1" applyFont="1" applyAlignment="1" applyProtection="1">
      <alignment horizontal="right"/>
      <protection locked="0"/>
    </xf>
    <xf numFmtId="166" fontId="19" fillId="8" borderId="0" xfId="19" applyNumberFormat="1" applyFont="1" applyFill="1" applyProtection="1">
      <protection locked="0"/>
    </xf>
    <xf numFmtId="166" fontId="19" fillId="9" borderId="0" xfId="19" applyNumberFormat="1" applyFont="1" applyFill="1" applyProtection="1">
      <protection locked="0"/>
    </xf>
    <xf numFmtId="166" fontId="19" fillId="9" borderId="0" xfId="19" applyNumberFormat="1" applyFont="1" applyFill="1" applyAlignment="1" applyProtection="1">
      <alignment horizontal="center"/>
      <protection locked="0"/>
    </xf>
    <xf numFmtId="166" fontId="19" fillId="0" borderId="0" xfId="19" quotePrefix="1" applyNumberFormat="1" applyFont="1" applyProtection="1">
      <protection locked="0"/>
    </xf>
    <xf numFmtId="166" fontId="27" fillId="0" borderId="0" xfId="19" applyNumberFormat="1" applyFont="1" applyAlignment="1" applyProtection="1">
      <alignment horizontal="right"/>
      <protection locked="0"/>
    </xf>
    <xf numFmtId="168" fontId="19" fillId="0" borderId="0" xfId="23" applyNumberFormat="1" applyFont="1" applyProtection="1">
      <protection locked="0"/>
    </xf>
    <xf numFmtId="168" fontId="20" fillId="0" borderId="0" xfId="23" applyNumberFormat="1" applyFont="1" applyProtection="1">
      <protection locked="0"/>
    </xf>
    <xf numFmtId="166" fontId="27" fillId="9" borderId="0" xfId="19" applyNumberFormat="1" applyFont="1" applyFill="1" applyProtection="1">
      <protection locked="0"/>
    </xf>
    <xf numFmtId="166" fontId="27" fillId="9" borderId="0" xfId="19" applyNumberFormat="1" applyFont="1" applyFill="1" applyAlignment="1" applyProtection="1">
      <alignment horizontal="center"/>
      <protection locked="0"/>
    </xf>
    <xf numFmtId="0" fontId="2" fillId="0" borderId="1" xfId="21" applyBorder="1" applyProtection="1">
      <protection locked="0"/>
    </xf>
    <xf numFmtId="166" fontId="27" fillId="0" borderId="3" xfId="19" applyNumberFormat="1" applyFont="1" applyFill="1" applyBorder="1" applyProtection="1">
      <protection locked="0"/>
    </xf>
    <xf numFmtId="166" fontId="27" fillId="0" borderId="0" xfId="19" applyNumberFormat="1" applyFont="1" applyFill="1" applyBorder="1" applyProtection="1">
      <protection locked="0"/>
    </xf>
    <xf numFmtId="166" fontId="25" fillId="0" borderId="0" xfId="19" applyNumberFormat="1" applyFont="1" applyAlignment="1" applyProtection="1">
      <alignment horizontal="center"/>
      <protection locked="0"/>
    </xf>
    <xf numFmtId="170" fontId="25" fillId="0" borderId="0" xfId="19" applyNumberFormat="1" applyFont="1" applyProtection="1">
      <protection locked="0"/>
    </xf>
    <xf numFmtId="166" fontId="27" fillId="8" borderId="1" xfId="19" applyNumberFormat="1" applyFont="1" applyFill="1" applyBorder="1" applyProtection="1">
      <protection locked="0"/>
    </xf>
    <xf numFmtId="166" fontId="27" fillId="8" borderId="3" xfId="19" applyNumberFormat="1" applyFont="1" applyFill="1" applyBorder="1" applyProtection="1">
      <protection locked="0"/>
    </xf>
    <xf numFmtId="166" fontId="27" fillId="8" borderId="0" xfId="19" applyNumberFormat="1" applyFont="1" applyFill="1" applyBorder="1" applyProtection="1">
      <protection locked="0"/>
    </xf>
    <xf numFmtId="166" fontId="27" fillId="8" borderId="0" xfId="19" applyNumberFormat="1" applyFont="1" applyFill="1" applyProtection="1">
      <protection locked="0"/>
    </xf>
    <xf numFmtId="166" fontId="27" fillId="8" borderId="4" xfId="19" applyNumberFormat="1" applyFont="1" applyFill="1" applyBorder="1" applyProtection="1">
      <protection locked="0"/>
    </xf>
    <xf numFmtId="14" fontId="33" fillId="0" borderId="1" xfId="19" applyNumberFormat="1" applyFont="1" applyBorder="1" applyProtection="1">
      <protection locked="0"/>
    </xf>
    <xf numFmtId="166" fontId="32" fillId="0" borderId="0" xfId="19" applyNumberFormat="1" applyFont="1" applyProtection="1">
      <protection locked="0"/>
    </xf>
    <xf numFmtId="168" fontId="20" fillId="0" borderId="1" xfId="23" applyNumberFormat="1" applyFont="1" applyBorder="1" applyProtection="1">
      <protection locked="0"/>
    </xf>
    <xf numFmtId="0" fontId="2" fillId="0" borderId="0" xfId="16" applyFont="1" applyFill="1" applyBorder="1"/>
    <xf numFmtId="0" fontId="2" fillId="0" borderId="1" xfId="16" applyFont="1" applyFill="1" applyBorder="1"/>
    <xf numFmtId="0" fontId="2" fillId="6" borderId="0" xfId="16" applyFont="1" applyFill="1"/>
    <xf numFmtId="0" fontId="34" fillId="0" borderId="0" xfId="16" applyFont="1" applyFill="1" applyBorder="1" applyAlignment="1">
      <alignment horizontal="right"/>
    </xf>
    <xf numFmtId="0" fontId="1" fillId="0" borderId="0" xfId="16" applyFont="1" applyFill="1" applyBorder="1"/>
    <xf numFmtId="0" fontId="1" fillId="0" borderId="1" xfId="16" applyFont="1" applyFill="1" applyBorder="1"/>
    <xf numFmtId="0" fontId="36" fillId="0" borderId="0" xfId="22" applyFont="1" applyFill="1" applyBorder="1"/>
    <xf numFmtId="166" fontId="37" fillId="0" borderId="1" xfId="19" applyNumberFormat="1" applyFont="1" applyBorder="1" applyAlignment="1" applyProtection="1">
      <alignment horizontal="right"/>
      <protection locked="0"/>
    </xf>
    <xf numFmtId="166" fontId="19" fillId="0" borderId="1" xfId="19" applyNumberFormat="1" applyFont="1" applyFill="1" applyBorder="1" applyProtection="1">
      <protection locked="0"/>
    </xf>
    <xf numFmtId="168" fontId="19" fillId="0" borderId="1" xfId="23" applyNumberFormat="1" applyFont="1" applyBorder="1" applyProtection="1">
      <protection locked="0"/>
    </xf>
    <xf numFmtId="0" fontId="35" fillId="0" borderId="0" xfId="16" applyFont="1" applyFill="1" applyBorder="1" applyProtection="1">
      <protection locked="0"/>
    </xf>
    <xf numFmtId="0" fontId="2" fillId="0" borderId="0" xfId="16" applyFont="1" applyFill="1" applyBorder="1" applyProtection="1">
      <protection locked="0"/>
    </xf>
    <xf numFmtId="0" fontId="34" fillId="0" borderId="0" xfId="16" applyFont="1" applyFill="1" applyBorder="1" applyProtection="1">
      <protection locked="0"/>
    </xf>
    <xf numFmtId="0" fontId="31" fillId="0" borderId="0" xfId="22" applyFont="1" applyFill="1" applyBorder="1" applyProtection="1">
      <protection locked="0"/>
    </xf>
    <xf numFmtId="0" fontId="34" fillId="0" borderId="1" xfId="21" applyFont="1" applyBorder="1" applyProtection="1">
      <protection locked="0"/>
    </xf>
    <xf numFmtId="7" fontId="20" fillId="0" borderId="0" xfId="19" applyNumberFormat="1" applyFont="1" applyFill="1" applyProtection="1">
      <protection locked="0"/>
    </xf>
    <xf numFmtId="167" fontId="20" fillId="0" borderId="0" xfId="24" applyNumberFormat="1" applyFont="1" applyProtection="1">
      <protection locked="0"/>
    </xf>
    <xf numFmtId="165" fontId="20" fillId="0" borderId="0" xfId="23" applyNumberFormat="1" applyFont="1" applyBorder="1" applyProtection="1">
      <protection locked="0"/>
    </xf>
    <xf numFmtId="7" fontId="25" fillId="0" borderId="0" xfId="19" applyNumberFormat="1" applyFont="1" applyProtection="1">
      <protection locked="0"/>
    </xf>
    <xf numFmtId="168" fontId="25" fillId="0" borderId="0" xfId="23" applyNumberFormat="1" applyFont="1" applyProtection="1">
      <protection locked="0"/>
    </xf>
    <xf numFmtId="5" fontId="27" fillId="0" borderId="1" xfId="19" applyNumberFormat="1" applyFont="1" applyBorder="1" applyProtection="1">
      <protection locked="0"/>
    </xf>
    <xf numFmtId="5" fontId="27" fillId="0" borderId="0" xfId="19" applyNumberFormat="1" applyFont="1" applyAlignment="1" applyProtection="1">
      <alignment horizontal="right"/>
      <protection locked="0"/>
    </xf>
    <xf numFmtId="166" fontId="27" fillId="0" borderId="0" xfId="19" applyNumberFormat="1" applyFont="1" applyBorder="1" applyAlignment="1" applyProtection="1">
      <alignment horizontal="centerContinuous"/>
      <protection locked="0"/>
    </xf>
    <xf numFmtId="168" fontId="20" fillId="8" borderId="0" xfId="23" applyNumberFormat="1" applyFont="1" applyFill="1" applyProtection="1">
      <protection locked="0"/>
    </xf>
    <xf numFmtId="166" fontId="20" fillId="8" borderId="0" xfId="19" applyNumberFormat="1" applyFont="1" applyFill="1" applyAlignment="1" applyProtection="1">
      <alignment horizontal="right"/>
      <protection locked="0"/>
    </xf>
    <xf numFmtId="165" fontId="28" fillId="0" borderId="1" xfId="23" applyNumberFormat="1" applyFont="1" applyBorder="1" applyProtection="1">
      <protection locked="0"/>
    </xf>
    <xf numFmtId="168" fontId="27" fillId="0" borderId="1" xfId="23" applyNumberFormat="1" applyFont="1" applyBorder="1" applyProtection="1">
      <protection locked="0"/>
    </xf>
    <xf numFmtId="168" fontId="20" fillId="8" borderId="1" xfId="23" applyNumberFormat="1" applyFont="1" applyFill="1" applyBorder="1" applyProtection="1">
      <protection locked="0"/>
    </xf>
    <xf numFmtId="166" fontId="20" fillId="8" borderId="1" xfId="19" applyNumberFormat="1" applyFont="1" applyFill="1" applyBorder="1" applyAlignment="1" applyProtection="1">
      <alignment horizontal="right"/>
      <protection locked="0"/>
    </xf>
    <xf numFmtId="168" fontId="19" fillId="0" borderId="0" xfId="23" applyNumberFormat="1" applyFont="1" applyBorder="1" applyProtection="1">
      <protection locked="0"/>
    </xf>
    <xf numFmtId="168" fontId="20" fillId="0" borderId="0" xfId="23" applyNumberFormat="1" applyFont="1" applyBorder="1" applyProtection="1">
      <protection locked="0"/>
    </xf>
    <xf numFmtId="168" fontId="20" fillId="8" borderId="0" xfId="23" applyNumberFormat="1" applyFont="1" applyFill="1" applyBorder="1" applyProtection="1">
      <protection locked="0"/>
    </xf>
    <xf numFmtId="166" fontId="19" fillId="0" borderId="0" xfId="19" applyNumberFormat="1" applyFont="1" applyFill="1" applyAlignment="1" applyProtection="1">
      <alignment horizontal="center"/>
      <protection locked="0"/>
    </xf>
    <xf numFmtId="165" fontId="20" fillId="8" borderId="1" xfId="23" applyNumberFormat="1" applyFont="1" applyFill="1" applyBorder="1" applyAlignment="1" applyProtection="1">
      <alignment horizontal="right"/>
      <protection locked="0"/>
    </xf>
    <xf numFmtId="171" fontId="40" fillId="0" borderId="0" xfId="19" applyNumberFormat="1" applyFont="1" applyAlignment="1" applyProtection="1">
      <alignment horizontal="right"/>
      <protection locked="0"/>
    </xf>
    <xf numFmtId="172" fontId="40" fillId="0" borderId="0" xfId="19" applyNumberFormat="1" applyFont="1" applyAlignment="1" applyProtection="1">
      <alignment horizontal="right"/>
      <protection locked="0"/>
    </xf>
    <xf numFmtId="166" fontId="25" fillId="0" borderId="1" xfId="19" applyNumberFormat="1" applyFont="1" applyBorder="1" applyAlignment="1" applyProtection="1">
      <alignment horizontal="right"/>
      <protection locked="0"/>
    </xf>
    <xf numFmtId="9" fontId="28" fillId="0" borderId="0" xfId="20" applyFont="1" applyBorder="1" applyProtection="1">
      <protection locked="0"/>
    </xf>
    <xf numFmtId="173" fontId="25" fillId="0" borderId="0" xfId="19" applyNumberFormat="1" applyFont="1" applyProtection="1">
      <protection locked="0"/>
    </xf>
    <xf numFmtId="166" fontId="26" fillId="9" borderId="0" xfId="19" applyNumberFormat="1" applyFont="1" applyFill="1" applyProtection="1">
      <protection locked="0"/>
    </xf>
    <xf numFmtId="166" fontId="27" fillId="0" borderId="0" xfId="19" applyNumberFormat="1" applyFont="1" applyFill="1" applyBorder="1" applyAlignment="1" applyProtection="1">
      <alignment horizontal="right"/>
      <protection locked="0"/>
    </xf>
    <xf numFmtId="166" fontId="27" fillId="0" borderId="0" xfId="19" applyNumberFormat="1" applyFont="1" applyBorder="1" applyAlignment="1" applyProtection="1">
      <alignment horizontal="right"/>
      <protection locked="0"/>
    </xf>
    <xf numFmtId="166" fontId="26" fillId="9" borderId="0" xfId="19" applyNumberFormat="1" applyFont="1" applyFill="1" applyAlignment="1" applyProtection="1">
      <alignment horizontal="center"/>
      <protection locked="0"/>
    </xf>
    <xf numFmtId="166" fontId="26" fillId="0" borderId="0" xfId="19" applyNumberFormat="1" applyFont="1" applyFill="1" applyAlignment="1" applyProtection="1">
      <alignment horizontal="center"/>
      <protection locked="0"/>
    </xf>
    <xf numFmtId="166" fontId="26" fillId="0" borderId="1" xfId="19" applyNumberFormat="1" applyFont="1" applyFill="1" applyBorder="1" applyProtection="1">
      <protection locked="0"/>
    </xf>
    <xf numFmtId="166" fontId="26" fillId="0" borderId="1" xfId="19" applyNumberFormat="1" applyFont="1" applyFill="1" applyBorder="1" applyAlignment="1" applyProtection="1">
      <alignment horizontal="center"/>
      <protection locked="0"/>
    </xf>
    <xf numFmtId="166" fontId="28" fillId="9" borderId="0" xfId="19" applyNumberFormat="1" applyFont="1" applyFill="1" applyProtection="1">
      <protection locked="0"/>
    </xf>
    <xf numFmtId="166" fontId="20" fillId="0" borderId="0" xfId="19" applyNumberFormat="1" applyFont="1" applyBorder="1" applyAlignment="1" applyProtection="1">
      <alignment horizontal="right"/>
      <protection locked="0"/>
    </xf>
    <xf numFmtId="9" fontId="27" fillId="0" borderId="0" xfId="23" applyFont="1" applyBorder="1" applyProtection="1">
      <protection locked="0"/>
    </xf>
    <xf numFmtId="166" fontId="27" fillId="0" borderId="0" xfId="19" applyNumberFormat="1" applyFont="1" applyFill="1" applyAlignment="1" applyProtection="1">
      <alignment horizontal="center"/>
      <protection locked="0"/>
    </xf>
    <xf numFmtId="166" fontId="25" fillId="0" borderId="0" xfId="19" applyNumberFormat="1" applyFont="1" applyBorder="1" applyAlignment="1" applyProtection="1">
      <alignment horizontal="right"/>
      <protection locked="0"/>
    </xf>
    <xf numFmtId="165" fontId="19" fillId="0" borderId="0" xfId="19" applyNumberFormat="1" applyFont="1" applyBorder="1" applyProtection="1">
      <protection locked="0"/>
    </xf>
    <xf numFmtId="166" fontId="26" fillId="0" borderId="0" xfId="19" applyNumberFormat="1" applyFont="1" applyBorder="1" applyAlignment="1" applyProtection="1">
      <alignment horizontal="center"/>
      <protection locked="0"/>
    </xf>
    <xf numFmtId="166" fontId="28" fillId="0" borderId="0" xfId="19" applyNumberFormat="1" applyFont="1" applyBorder="1" applyAlignment="1" applyProtection="1">
      <alignment horizontal="center"/>
      <protection locked="0"/>
    </xf>
    <xf numFmtId="166" fontId="28" fillId="0" borderId="1" xfId="19" applyNumberFormat="1" applyFont="1" applyBorder="1" applyAlignment="1" applyProtection="1">
      <alignment horizontal="center"/>
      <protection locked="0"/>
    </xf>
    <xf numFmtId="166" fontId="26" fillId="8" borderId="0" xfId="19" applyNumberFormat="1" applyFont="1" applyFill="1" applyProtection="1">
      <protection locked="0"/>
    </xf>
    <xf numFmtId="172" fontId="40" fillId="8" borderId="0" xfId="19" applyNumberFormat="1" applyFont="1" applyFill="1" applyAlignment="1" applyProtection="1">
      <alignment horizontal="right"/>
      <protection locked="0"/>
    </xf>
    <xf numFmtId="14" fontId="19" fillId="8" borderId="0" xfId="19" applyNumberFormat="1" applyFont="1" applyFill="1" applyBorder="1" applyAlignment="1" applyProtection="1">
      <alignment horizontal="right"/>
      <protection locked="0"/>
    </xf>
    <xf numFmtId="174" fontId="26" fillId="8" borderId="0" xfId="19" applyNumberFormat="1" applyFont="1" applyFill="1" applyBorder="1" applyProtection="1">
      <protection locked="0"/>
    </xf>
    <xf numFmtId="172" fontId="40" fillId="8" borderId="0" xfId="19" applyNumberFormat="1" applyFont="1" applyFill="1" applyBorder="1" applyAlignment="1" applyProtection="1">
      <alignment horizontal="right"/>
      <protection locked="0"/>
    </xf>
    <xf numFmtId="9" fontId="26" fillId="0" borderId="0" xfId="23" applyFont="1" applyFill="1" applyAlignment="1" applyProtection="1">
      <alignment horizontal="center"/>
      <protection locked="0"/>
    </xf>
    <xf numFmtId="9" fontId="27" fillId="0" borderId="1" xfId="23" applyFont="1" applyBorder="1" applyProtection="1">
      <protection locked="0"/>
    </xf>
    <xf numFmtId="165" fontId="19" fillId="0" borderId="0" xfId="19" applyNumberFormat="1" applyFont="1" applyProtection="1">
      <protection locked="0"/>
    </xf>
    <xf numFmtId="166" fontId="19" fillId="8" borderId="0" xfId="19" applyNumberFormat="1" applyFont="1" applyFill="1" applyAlignment="1" applyProtection="1">
      <alignment horizontal="center"/>
      <protection locked="0"/>
    </xf>
    <xf numFmtId="174" fontId="20" fillId="8" borderId="0" xfId="19" applyNumberFormat="1" applyFont="1" applyFill="1" applyBorder="1" applyProtection="1">
      <protection locked="0"/>
    </xf>
    <xf numFmtId="0" fontId="20" fillId="0" borderId="0" xfId="19" applyNumberFormat="1" applyFont="1" applyProtection="1">
      <protection locked="0"/>
    </xf>
    <xf numFmtId="166" fontId="27" fillId="8" borderId="7" xfId="19" applyNumberFormat="1" applyFont="1" applyFill="1" applyBorder="1" applyProtection="1">
      <protection locked="0"/>
    </xf>
    <xf numFmtId="166" fontId="27" fillId="8" borderId="1" xfId="19" applyNumberFormat="1" applyFont="1" applyFill="1" applyBorder="1" applyAlignment="1" applyProtection="1">
      <alignment horizontal="center"/>
      <protection locked="0"/>
    </xf>
    <xf numFmtId="166" fontId="27" fillId="8" borderId="8" xfId="19" applyNumberFormat="1" applyFont="1" applyFill="1" applyBorder="1" applyProtection="1">
      <protection locked="0"/>
    </xf>
    <xf numFmtId="166" fontId="27" fillId="8" borderId="9" xfId="19" applyNumberFormat="1" applyFont="1" applyFill="1" applyBorder="1" applyProtection="1">
      <protection locked="0"/>
    </xf>
    <xf numFmtId="166" fontId="27" fillId="8" borderId="2" xfId="19" applyNumberFormat="1" applyFont="1" applyFill="1" applyBorder="1" applyProtection="1">
      <protection locked="0"/>
    </xf>
    <xf numFmtId="166" fontId="27" fillId="8" borderId="2" xfId="19" applyNumberFormat="1" applyFont="1" applyFill="1" applyBorder="1" applyAlignment="1" applyProtection="1">
      <alignment horizontal="center"/>
      <protection locked="0"/>
    </xf>
    <xf numFmtId="166" fontId="27" fillId="8" borderId="10" xfId="19" applyNumberFormat="1" applyFont="1" applyFill="1" applyBorder="1" applyProtection="1">
      <protection locked="0"/>
    </xf>
    <xf numFmtId="166" fontId="29" fillId="8" borderId="1" xfId="19" applyNumberFormat="1" applyFont="1" applyFill="1" applyBorder="1" applyProtection="1">
      <protection locked="0"/>
    </xf>
    <xf numFmtId="175" fontId="20" fillId="8" borderId="0" xfId="23" applyNumberFormat="1" applyFont="1" applyFill="1" applyBorder="1" applyProtection="1">
      <protection locked="0"/>
    </xf>
    <xf numFmtId="166" fontId="41" fillId="7" borderId="0" xfId="19" applyNumberFormat="1" applyFont="1" applyFill="1" applyAlignment="1" applyProtection="1">
      <alignment horizontal="center"/>
      <protection locked="0"/>
    </xf>
    <xf numFmtId="168" fontId="41" fillId="7" borderId="0" xfId="23" applyNumberFormat="1" applyFont="1" applyFill="1" applyAlignment="1" applyProtection="1">
      <alignment horizontal="center"/>
      <protection locked="0"/>
    </xf>
    <xf numFmtId="166" fontId="41" fillId="7" borderId="11" xfId="19" applyNumberFormat="1" applyFont="1" applyFill="1" applyBorder="1" applyAlignment="1" applyProtection="1">
      <alignment horizontal="center"/>
      <protection locked="0"/>
    </xf>
    <xf numFmtId="166" fontId="21" fillId="7" borderId="0" xfId="19" applyNumberFormat="1" applyFont="1" applyFill="1" applyAlignment="1" applyProtection="1">
      <alignment vertical="center"/>
      <protection locked="0"/>
    </xf>
    <xf numFmtId="166" fontId="27" fillId="8" borderId="0" xfId="19" applyNumberFormat="1" applyFont="1" applyFill="1" applyBorder="1" applyAlignment="1" applyProtection="1">
      <alignment horizontal="right"/>
      <protection locked="0"/>
    </xf>
    <xf numFmtId="0" fontId="19" fillId="0" borderId="0" xfId="19" applyNumberFormat="1" applyFont="1" applyProtection="1">
      <protection locked="0"/>
    </xf>
    <xf numFmtId="166" fontId="26" fillId="8" borderId="0" xfId="19" applyNumberFormat="1" applyFont="1" applyFill="1" applyBorder="1" applyProtection="1">
      <protection locked="0"/>
    </xf>
    <xf numFmtId="176" fontId="19" fillId="0" borderId="0" xfId="19" applyNumberFormat="1" applyFont="1" applyProtection="1">
      <protection locked="0"/>
    </xf>
    <xf numFmtId="166" fontId="19" fillId="0" borderId="5" xfId="19" applyNumberFormat="1" applyFont="1" applyBorder="1" applyAlignment="1" applyProtection="1">
      <alignment horizontal="center"/>
      <protection locked="0"/>
    </xf>
    <xf numFmtId="166" fontId="26" fillId="0" borderId="0" xfId="19" applyNumberFormat="1" applyFont="1" applyAlignment="1" applyProtection="1">
      <alignment horizontal="right"/>
      <protection locked="0"/>
    </xf>
    <xf numFmtId="166" fontId="20" fillId="8" borderId="0" xfId="19" applyNumberFormat="1" applyFont="1" applyFill="1" applyProtection="1">
      <protection locked="0"/>
    </xf>
    <xf numFmtId="0" fontId="30" fillId="0" borderId="1" xfId="22" applyFill="1" applyBorder="1" applyProtection="1">
      <protection locked="0"/>
    </xf>
    <xf numFmtId="166" fontId="19" fillId="9" borderId="0" xfId="19" applyNumberFormat="1" applyFont="1" applyFill="1" applyBorder="1" applyProtection="1">
      <protection locked="0"/>
    </xf>
    <xf numFmtId="167" fontId="20" fillId="0" borderId="0" xfId="24" applyNumberFormat="1" applyFont="1" applyBorder="1" applyProtection="1">
      <protection locked="0"/>
    </xf>
    <xf numFmtId="168" fontId="20" fillId="0" borderId="0" xfId="23" applyNumberFormat="1" applyFont="1" applyFill="1" applyBorder="1" applyProtection="1">
      <protection locked="0"/>
    </xf>
    <xf numFmtId="177" fontId="28" fillId="9" borderId="0" xfId="19" applyNumberFormat="1" applyFont="1" applyFill="1" applyBorder="1" applyAlignment="1" applyProtection="1">
      <alignment horizontal="right"/>
      <protection locked="0"/>
    </xf>
    <xf numFmtId="168" fontId="26" fillId="0" borderId="1" xfId="23" applyNumberFormat="1" applyFont="1" applyBorder="1" applyProtection="1">
      <protection locked="0"/>
    </xf>
    <xf numFmtId="168" fontId="26" fillId="0" borderId="0" xfId="23" applyNumberFormat="1" applyFont="1" applyProtection="1">
      <protection locked="0"/>
    </xf>
    <xf numFmtId="167" fontId="26" fillId="0" borderId="0" xfId="24" applyNumberFormat="1" applyFont="1" applyProtection="1">
      <protection locked="0"/>
    </xf>
    <xf numFmtId="167" fontId="26" fillId="0" borderId="0" xfId="24" applyNumberFormat="1" applyFont="1" applyBorder="1" applyProtection="1">
      <protection locked="0"/>
    </xf>
    <xf numFmtId="168" fontId="26" fillId="0" borderId="0" xfId="23" applyNumberFormat="1" applyFont="1" applyFill="1" applyBorder="1" applyProtection="1">
      <protection locked="0"/>
    </xf>
    <xf numFmtId="10" fontId="26" fillId="0" borderId="0" xfId="23" applyNumberFormat="1" applyFont="1" applyFill="1" applyProtection="1">
      <protection locked="0"/>
    </xf>
    <xf numFmtId="167" fontId="19" fillId="0" borderId="0" xfId="19" applyNumberFormat="1" applyFont="1" applyProtection="1">
      <protection locked="0"/>
    </xf>
    <xf numFmtId="168" fontId="20" fillId="0" borderId="0" xfId="23" applyNumberFormat="1" applyFont="1" applyFill="1" applyProtection="1">
      <protection locked="0"/>
    </xf>
    <xf numFmtId="7" fontId="32" fillId="0" borderId="0" xfId="19" applyNumberFormat="1" applyFont="1" applyBorder="1" applyProtection="1">
      <protection locked="0"/>
    </xf>
    <xf numFmtId="166" fontId="26" fillId="8" borderId="0" xfId="19" applyNumberFormat="1" applyFont="1" applyFill="1" applyAlignment="1" applyProtection="1">
      <alignment horizontal="right"/>
      <protection locked="0"/>
    </xf>
    <xf numFmtId="166" fontId="27" fillId="8" borderId="1" xfId="19" applyNumberFormat="1" applyFont="1" applyFill="1" applyBorder="1" applyAlignment="1" applyProtection="1">
      <alignment horizontal="centerContinuous"/>
      <protection locked="0"/>
    </xf>
    <xf numFmtId="14" fontId="27" fillId="8" borderId="0" xfId="19" applyNumberFormat="1" applyFont="1" applyFill="1" applyProtection="1">
      <protection locked="0"/>
    </xf>
    <xf numFmtId="165" fontId="19" fillId="0" borderId="0" xfId="19" applyNumberFormat="1" applyFont="1" applyAlignment="1" applyProtection="1">
      <alignment horizontal="right"/>
      <protection locked="0"/>
    </xf>
    <xf numFmtId="166" fontId="19" fillId="0" borderId="0" xfId="19" applyNumberFormat="1" applyFont="1" applyAlignment="1" applyProtection="1">
      <alignment horizontal="centerContinuous"/>
      <protection locked="0"/>
    </xf>
    <xf numFmtId="9" fontId="22" fillId="0" borderId="0" xfId="23" applyFont="1" applyAlignment="1" applyProtection="1">
      <alignment horizontal="right"/>
      <protection locked="0"/>
    </xf>
    <xf numFmtId="165" fontId="19" fillId="0" borderId="1" xfId="19" applyNumberFormat="1" applyFont="1" applyBorder="1" applyAlignment="1" applyProtection="1">
      <alignment horizontal="right"/>
      <protection locked="0"/>
    </xf>
    <xf numFmtId="165" fontId="19" fillId="0" borderId="12" xfId="19" applyNumberFormat="1" applyFont="1" applyBorder="1" applyAlignment="1" applyProtection="1">
      <alignment horizontal="right"/>
      <protection locked="0"/>
    </xf>
    <xf numFmtId="166" fontId="27" fillId="9" borderId="0" xfId="19" applyNumberFormat="1" applyFont="1" applyFill="1" applyAlignment="1" applyProtection="1">
      <alignment horizontal="centerContinuous"/>
      <protection locked="0"/>
    </xf>
    <xf numFmtId="165" fontId="19" fillId="0" borderId="1" xfId="23" applyNumberFormat="1" applyFont="1" applyBorder="1" applyProtection="1">
      <protection locked="0"/>
    </xf>
    <xf numFmtId="165" fontId="19" fillId="0" borderId="0" xfId="23" applyNumberFormat="1" applyFont="1" applyProtection="1">
      <protection locked="0"/>
    </xf>
    <xf numFmtId="178" fontId="27" fillId="0" borderId="6" xfId="19" applyNumberFormat="1" applyFont="1" applyFill="1" applyBorder="1" applyAlignment="1" applyProtection="1">
      <alignment horizontal="right"/>
      <protection locked="0"/>
    </xf>
    <xf numFmtId="178" fontId="27" fillId="0" borderId="1" xfId="19" applyNumberFormat="1" applyFont="1" applyFill="1" applyBorder="1" applyAlignment="1" applyProtection="1">
      <alignment horizontal="right"/>
      <protection locked="0"/>
    </xf>
  </cellXfs>
  <cellStyles count="25">
    <cellStyle name="ChartingText" xfId="14" xr:uid="{00000000-0005-0000-0000-000000000000}"/>
    <cellStyle name="CHPTop" xfId="15" xr:uid="{00000000-0005-0000-0000-000001000000}"/>
    <cellStyle name="ColumnHeaderNormal" xfId="6" xr:uid="{00000000-0005-0000-0000-000002000000}"/>
    <cellStyle name="Comma" xfId="24" builtinId="3"/>
    <cellStyle name="Comma 2" xfId="17" xr:uid="{00000000-0005-0000-0000-000004000000}"/>
    <cellStyle name="Comma 3" xfId="19" xr:uid="{00000000-0005-0000-0000-000005000000}"/>
    <cellStyle name="Hyperlink" xfId="22" builtinId="8"/>
    <cellStyle name="Invisible" xfId="13" xr:uid="{00000000-0005-0000-0000-000007000000}"/>
    <cellStyle name="NewColumnHeaderNormal" xfId="4" xr:uid="{00000000-0005-0000-0000-000008000000}"/>
    <cellStyle name="NewSectionHeaderNormal" xfId="3" xr:uid="{00000000-0005-0000-0000-000009000000}"/>
    <cellStyle name="NewTitleNormal" xfId="2" xr:uid="{00000000-0005-0000-0000-00000A000000}"/>
    <cellStyle name="Normal" xfId="0" builtinId="0"/>
    <cellStyle name="Normal 2" xfId="16" xr:uid="{00000000-0005-0000-0000-00000C000000}"/>
    <cellStyle name="Normal 3" xfId="21" xr:uid="{00000000-0005-0000-0000-00000D000000}"/>
    <cellStyle name="Percent" xfId="23" builtinId="5"/>
    <cellStyle name="Percent 2" xfId="18" xr:uid="{00000000-0005-0000-0000-00000F000000}"/>
    <cellStyle name="Percent 3" xfId="20" xr:uid="{00000000-0005-0000-0000-000010000000}"/>
    <cellStyle name="SectionHeaderNormal" xfId="5" xr:uid="{00000000-0005-0000-0000-000011000000}"/>
    <cellStyle name="SubScript" xfId="9" xr:uid="{00000000-0005-0000-0000-000012000000}"/>
    <cellStyle name="SuperScript" xfId="8" xr:uid="{00000000-0005-0000-0000-000013000000}"/>
    <cellStyle name="TextBold" xfId="10" xr:uid="{00000000-0005-0000-0000-000014000000}"/>
    <cellStyle name="TextItalic" xfId="11" xr:uid="{00000000-0005-0000-0000-000015000000}"/>
    <cellStyle name="TextNormal" xfId="7" xr:uid="{00000000-0005-0000-0000-000016000000}"/>
    <cellStyle name="TitleNormal" xfId="1" xr:uid="{00000000-0005-0000-0000-000017000000}"/>
    <cellStyle name="Total" xfId="12" builtinId="25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0000FF"/>
      <color rgb="FFED942D"/>
      <color rgb="FF132E57"/>
      <color rgb="FFFA621C"/>
      <color rgb="FF1E8496"/>
      <color rgb="FF1E8432"/>
      <color rgb="FFADC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63670166229222"/>
          <c:y val="2.8936278798483508E-2"/>
          <c:w val="0.8378077427821522"/>
          <c:h val="0.863664333624963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'Leveraged Buyout (LBO) Model'!$A$363</c:f>
              <c:strCache>
                <c:ptCount val="1"/>
                <c:pt idx="0">
                  <c:v> Cash from Operations </c:v>
                </c:pt>
              </c:strCache>
            </c:strRef>
          </c:tx>
          <c:spPr>
            <a:solidFill>
              <a:srgbClr val="132E57"/>
            </a:solidFill>
            <a:ln>
              <a:noFill/>
            </a:ln>
            <a:effectLst/>
          </c:spPr>
          <c:invertIfNegative val="0"/>
          <c:val>
            <c:numRef>
              <c:f>'Leveraged Buyout (LBO) Model'!$E$363:$K$363</c:f>
              <c:numCache>
                <c:formatCode>_-* #,##0_-;\(#,##0\)_-;_-* "-"_-;_-@_-</c:formatCode>
                <c:ptCount val="7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'Leveraged Buyout (LBO) Model'!$E$362:$K$362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A69-4F61-9686-77A4A123CD04}"/>
            </c:ext>
          </c:extLst>
        </c:ser>
        <c:ser>
          <c:idx val="1"/>
          <c:order val="1"/>
          <c:tx>
            <c:strRef>
              <c:f>'Leveraged Buyout (LBO) Model'!$A$364</c:f>
              <c:strCache>
                <c:ptCount val="1"/>
                <c:pt idx="0">
                  <c:v> Cash used in Investing </c:v>
                </c:pt>
              </c:strCache>
            </c:strRef>
          </c:tx>
          <c:spPr>
            <a:solidFill>
              <a:srgbClr val="ED942D"/>
            </a:solidFill>
            <a:ln>
              <a:noFill/>
            </a:ln>
            <a:effectLst/>
          </c:spPr>
          <c:invertIfNegative val="0"/>
          <c:val>
            <c:numRef>
              <c:f>'Leveraged Buyout (LBO) Model'!$E$364:$K$364</c:f>
              <c:numCache>
                <c:formatCode>_-* #,##0_-;\(#,##0\)_-;_-* "-"_-;_-@_-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7A69-4F61-9686-77A4A123CD04}"/>
            </c:ext>
          </c:extLst>
        </c:ser>
        <c:ser>
          <c:idx val="2"/>
          <c:order val="2"/>
          <c:tx>
            <c:strRef>
              <c:f>'Leveraged Buyout (LBO) Model'!$A$365</c:f>
              <c:strCache>
                <c:ptCount val="1"/>
                <c:pt idx="0">
                  <c:v> Cash from (in) Financing </c:v>
                </c:pt>
              </c:strCache>
            </c:strRef>
          </c:tx>
          <c:spPr>
            <a:solidFill>
              <a:srgbClr val="1E8496"/>
            </a:solidFill>
            <a:ln>
              <a:noFill/>
            </a:ln>
            <a:effectLst/>
          </c:spPr>
          <c:invertIfNegative val="0"/>
          <c:val>
            <c:numRef>
              <c:f>'Leveraged Buyout (LBO) Model'!$E$365:$K$365</c:f>
              <c:numCache>
                <c:formatCode>_-* #,##0_-;\(#,##0\)_-;_-* "-"_-;_-@_-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7A69-4F61-9686-77A4A123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734661080"/>
        <c:axId val="734661408"/>
      </c:barChart>
      <c:lineChart>
        <c:grouping val="standard"/>
        <c:varyColors val="0"/>
        <c:ser>
          <c:idx val="3"/>
          <c:order val="3"/>
          <c:tx>
            <c:strRef>
              <c:f>'Leveraged Buyout (LBO) Model'!$A$366</c:f>
              <c:strCache>
                <c:ptCount val="1"/>
                <c:pt idx="0">
                  <c:v> Cash Balance </c:v>
                </c:pt>
              </c:strCache>
            </c:strRef>
          </c:tx>
          <c:spPr>
            <a:ln w="28575" cap="rnd">
              <a:solidFill>
                <a:srgbClr val="FA621C"/>
              </a:solidFill>
              <a:round/>
            </a:ln>
            <a:effectLst/>
          </c:spPr>
          <c:marker>
            <c:symbol val="none"/>
          </c:marker>
          <c:val>
            <c:numRef>
              <c:f>'Leveraged Buyout (LBO) Model'!$E$366:$K$366</c:f>
              <c:numCache>
                <c:formatCode>_-* #,##0_-;\(#,##0\)_-;_-* "-"_-;_-@_-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9-4F61-9686-77A4A123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661080"/>
        <c:axId val="734661408"/>
      </c:lineChart>
      <c:catAx>
        <c:axId val="73466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1408"/>
        <c:crosses val="autoZero"/>
        <c:auto val="1"/>
        <c:lblAlgn val="ctr"/>
        <c:lblOffset val="100"/>
        <c:noMultiLvlLbl val="0"/>
      </c:catAx>
      <c:valAx>
        <c:axId val="734661408"/>
        <c:scaling>
          <c:orientation val="minMax"/>
        </c:scaling>
        <c:delete val="0"/>
        <c:axPos val="l"/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63670166229222"/>
          <c:y val="7.5232575094779819E-2"/>
          <c:w val="0.8378077427821522"/>
          <c:h val="0.81736803732866725"/>
        </c:manualLayout>
      </c:layout>
      <c:lineChart>
        <c:grouping val="standard"/>
        <c:varyColors val="0"/>
        <c:ser>
          <c:idx val="3"/>
          <c:order val="0"/>
          <c:tx>
            <c:strRef>
              <c:f>'Leveraged Buyout (LBO) Model'!$A$369</c:f>
              <c:strCache>
                <c:ptCount val="1"/>
                <c:pt idx="0">
                  <c:v> Debt/EBITDA 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val>
            <c:numRef>
              <c:f>'Leveraged Buyout (LBO) Model'!$E$369:$K$369</c:f>
              <c:numCache>
                <c:formatCode>0.0\x</c:formatCode>
                <c:ptCount val="7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'Leveraged Buyout (LBO) Model'!$E$362:$K$362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4702-4BB6-8E5B-B35440D8412F}"/>
            </c:ext>
          </c:extLst>
        </c:ser>
        <c:ser>
          <c:idx val="1"/>
          <c:order val="1"/>
          <c:tx>
            <c:strRef>
              <c:f>'Leveraged Buyout (LBO) Model'!$A$370</c:f>
              <c:strCache>
                <c:ptCount val="1"/>
                <c:pt idx="0">
                  <c:v> Debt Service Coverage (EBITDA) </c:v>
                </c:pt>
              </c:strCache>
            </c:strRef>
          </c:tx>
          <c:spPr>
            <a:ln w="28575" cap="rnd">
              <a:solidFill>
                <a:srgbClr val="1E8496"/>
              </a:solidFill>
              <a:round/>
            </a:ln>
            <a:effectLst/>
          </c:spPr>
          <c:marker>
            <c:symbol val="none"/>
          </c:marker>
          <c:val>
            <c:numRef>
              <c:f>'Leveraged Buyout (LBO) Model'!$E$370:$K$370</c:f>
              <c:numCache>
                <c:formatCode>0.0\x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02-4BB6-8E5B-B35440D8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661080"/>
        <c:axId val="734661408"/>
      </c:lineChart>
      <c:catAx>
        <c:axId val="73466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1408"/>
        <c:crosses val="autoZero"/>
        <c:auto val="1"/>
        <c:lblAlgn val="ctr"/>
        <c:lblOffset val="100"/>
        <c:noMultiLvlLbl val="0"/>
      </c:catAx>
      <c:valAx>
        <c:axId val="734661408"/>
        <c:scaling>
          <c:orientation val="minMax"/>
        </c:scaling>
        <c:delete val="0"/>
        <c:axPos val="l"/>
        <c:numFmt formatCode="0.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082327209098862"/>
          <c:y val="2.7777777777777776E-2"/>
          <c:w val="0.52668678915135603"/>
          <c:h val="0.15219962088072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3670166229222"/>
          <c:y val="2.8936278798483508E-2"/>
          <c:w val="0.8378077427821522"/>
          <c:h val="0.863664333624963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'Leveraged Buyout (LBO) Model'!$A$368</c:f>
              <c:strCache>
                <c:ptCount val="1"/>
                <c:pt idx="0">
                  <c:v> Total Debt </c:v>
                </c:pt>
              </c:strCache>
            </c:strRef>
          </c:tx>
          <c:spPr>
            <a:solidFill>
              <a:srgbClr val="132E57"/>
            </a:solidFill>
            <a:ln>
              <a:noFill/>
            </a:ln>
            <a:effectLst/>
          </c:spPr>
          <c:invertIfNegative val="0"/>
          <c:val>
            <c:numRef>
              <c:f>'Leveraged Buyout (LBO) Model'!$E$368:$K$368</c:f>
              <c:numCache>
                <c:formatCode>_-* #,##0_-;\(#,##0\)_-;_-* "-"_-;_-@_-</c:formatCode>
                <c:ptCount val="7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'Leveraged Buyout (LBO) Model'!$E$362:$K$362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878-4538-B62B-127436657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734661080"/>
        <c:axId val="734661408"/>
      </c:barChart>
      <c:catAx>
        <c:axId val="73466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1408"/>
        <c:crosses val="autoZero"/>
        <c:auto val="1"/>
        <c:lblAlgn val="ctr"/>
        <c:lblOffset val="100"/>
        <c:noMultiLvlLbl val="0"/>
      </c:catAx>
      <c:valAx>
        <c:axId val="734661408"/>
        <c:scaling>
          <c:orientation val="minMax"/>
        </c:scaling>
        <c:delete val="0"/>
        <c:axPos val="l"/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664367</xdr:colOff>
      <xdr:row>9</xdr:row>
      <xdr:rowOff>114300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3AAFE5-1D2B-445D-A422-7ECC1F997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799" y="762000"/>
          <a:ext cx="3359943" cy="158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374</xdr:row>
      <xdr:rowOff>47625</xdr:rowOff>
    </xdr:from>
    <xdr:to>
      <xdr:col>4</xdr:col>
      <xdr:colOff>700087</xdr:colOff>
      <xdr:row>387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D2BD8-D8E3-4CBA-A252-CFAACD8FA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374</xdr:row>
      <xdr:rowOff>161925</xdr:rowOff>
    </xdr:from>
    <xdr:to>
      <xdr:col>9</xdr:col>
      <xdr:colOff>266700</xdr:colOff>
      <xdr:row>388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633E36-F229-4753-B9BF-C6EA0C4F0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374</xdr:row>
      <xdr:rowOff>171450</xdr:rowOff>
    </xdr:from>
    <xdr:to>
      <xdr:col>13</xdr:col>
      <xdr:colOff>914400</xdr:colOff>
      <xdr:row>388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B0DA32-75AF-4348-AEC5-FC57A769D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6"/>
  <sheetViews>
    <sheetView showGridLines="0" zoomScaleNormal="100" workbookViewId="0"/>
  </sheetViews>
  <sheetFormatPr baseColWidth="10" defaultColWidth="9.1640625" defaultRowHeight="14"/>
  <cols>
    <col min="1" max="2" width="11" style="79" customWidth="1"/>
    <col min="3" max="3" width="29.1640625" style="79" customWidth="1"/>
    <col min="4" max="22" width="11" style="79" customWidth="1"/>
    <col min="23" max="25" width="9.1640625" style="79"/>
    <col min="26" max="26" width="9.1640625" style="79" customWidth="1"/>
    <col min="27" max="16384" width="9.1640625" style="79"/>
  </cols>
  <sheetData>
    <row r="1" spans="2:15" ht="19.5" customHeight="1"/>
    <row r="2" spans="2:15" ht="19.5" customHeight="1"/>
    <row r="3" spans="2:15" ht="19.5" customHeight="1"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</row>
    <row r="4" spans="2:15" ht="19.5" customHeight="1"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</row>
    <row r="5" spans="2:15" ht="19.5" customHeight="1"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</row>
    <row r="6" spans="2:15" ht="19.5" customHeight="1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</row>
    <row r="7" spans="2:15" ht="19.5" customHeight="1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</row>
    <row r="8" spans="2:15" ht="19.5" customHeight="1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</row>
    <row r="9" spans="2:15" ht="19.5" customHeight="1"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</row>
    <row r="10" spans="2:15" ht="19.5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</row>
    <row r="11" spans="2:15" ht="19.5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</row>
    <row r="12" spans="2:15" ht="28">
      <c r="B12" s="77"/>
      <c r="C12" s="87" t="str">
        <f>"LBO Model - "&amp;'Leveraged Buyout (LBO) Model'!D7</f>
        <v>LBO Model - Company Inc.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80" t="s">
        <v>97</v>
      </c>
      <c r="O12" s="77"/>
    </row>
    <row r="13" spans="2:15" ht="19.5" customHeight="1">
      <c r="B13" s="77"/>
      <c r="C13" s="88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</row>
    <row r="14" spans="2:15" ht="19.5" customHeight="1">
      <c r="B14" s="77"/>
      <c r="C14" s="89" t="s">
        <v>96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</row>
    <row r="15" spans="2:15" ht="19.5" customHeight="1">
      <c r="B15" s="77"/>
      <c r="C15" s="163" t="str">
        <f ca="1">RIGHT(CELL("filename",'Leveraged Buyout (LBO) Model'!A1),LEN(CELL("filename",'Leveraged Buyout (LBO) Model'!A1))-FIND("]",CELL("filename",'Leveraged Buyout (LBO) Model'!A1)))</f>
        <v>Leveraged Buyout (LBO) Model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</row>
    <row r="16" spans="2:15" ht="19.5" customHeight="1">
      <c r="B16" s="77"/>
      <c r="C16" s="90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</row>
    <row r="17" spans="2:15" ht="19.5" customHeight="1">
      <c r="B17" s="77"/>
      <c r="C17" s="90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2:15" ht="19.5" customHeight="1">
      <c r="B18" s="77"/>
      <c r="C18" s="90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</row>
    <row r="19" spans="2:15" ht="19.5" customHeight="1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</row>
    <row r="20" spans="2:15" ht="19.5" customHeight="1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</row>
    <row r="21" spans="2:15" ht="19.5" customHeight="1">
      <c r="B21" s="77"/>
      <c r="C21" s="81" t="s">
        <v>55</v>
      </c>
      <c r="D21" s="81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</row>
    <row r="22" spans="2:15" ht="19.5" customHeight="1">
      <c r="B22" s="77"/>
      <c r="C22" s="82" t="s">
        <v>52</v>
      </c>
      <c r="D22" s="82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7"/>
    </row>
    <row r="23" spans="2:15" ht="19.5" customHeight="1">
      <c r="B23" s="77"/>
      <c r="C23" s="81" t="s">
        <v>53</v>
      </c>
      <c r="D23" s="81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2:15" ht="19.5" customHeight="1">
      <c r="B24" s="77"/>
      <c r="C24" s="83" t="s">
        <v>54</v>
      </c>
      <c r="D24" s="81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15" ht="19.5" customHeight="1">
      <c r="B25" s="77"/>
      <c r="C25" s="81"/>
      <c r="D25" s="81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</row>
    <row r="26" spans="2:15" ht="19.5" customHeight="1"/>
    <row r="27" spans="2:15" ht="19.5" customHeight="1"/>
    <row r="28" spans="2:15" ht="19.5" customHeight="1"/>
    <row r="29" spans="2:15" ht="19.5" customHeight="1"/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24" r:id="rId1" xr:uid="{00000000-0004-0000-0000-000000000000}"/>
    <hyperlink ref="C15" location="'Leveraged Buyout (LBO) Model'!A1" display="'Leveraged Buyout (LBO) Model'!A1" xr:uid="{00000000-0004-0000-0000-000001000000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3"/>
  <sheetViews>
    <sheetView showGridLines="0" tabSelected="1" zoomScaleNormal="100" workbookViewId="0">
      <pane ySplit="2" topLeftCell="A325" activePane="bottomLeft" state="frozen"/>
      <selection pane="bottomLeft" activeCell="G2" sqref="G2"/>
    </sheetView>
  </sheetViews>
  <sheetFormatPr baseColWidth="10" defaultColWidth="9.1640625" defaultRowHeight="16" outlineLevelRow="1"/>
  <cols>
    <col min="1" max="2" width="14.5" style="4" customWidth="1"/>
    <col min="3" max="3" width="14.5" style="8" customWidth="1"/>
    <col min="4" max="14" width="14.5" style="4" customWidth="1"/>
    <col min="15" max="16384" width="9.1640625" style="4"/>
  </cols>
  <sheetData>
    <row r="1" spans="1:14" ht="18" customHeight="1">
      <c r="A1" s="155" t="s">
        <v>5</v>
      </c>
      <c r="B1" s="1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</row>
    <row r="2" spans="1:14" ht="16.5" customHeight="1">
      <c r="A2" s="5" t="str">
        <f>"LBO Model for "&amp;D7</f>
        <v>LBO Model for Company Inc.</v>
      </c>
      <c r="B2" s="6"/>
      <c r="C2" s="7"/>
      <c r="D2" s="7"/>
      <c r="E2" s="7"/>
      <c r="F2" s="152" t="s">
        <v>200</v>
      </c>
      <c r="G2" s="154" t="s">
        <v>244</v>
      </c>
      <c r="H2" s="1"/>
      <c r="I2" s="152" t="s">
        <v>230</v>
      </c>
      <c r="J2" s="153"/>
      <c r="K2" s="152"/>
      <c r="L2" s="152" t="s">
        <v>219</v>
      </c>
      <c r="M2" s="152"/>
      <c r="N2" s="152"/>
    </row>
    <row r="3" spans="1:14"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ht="20">
      <c r="A4" s="10" t="s">
        <v>6</v>
      </c>
      <c r="B4" s="11"/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outlineLevel="1">
      <c r="D5" s="9"/>
      <c r="E5" s="9"/>
      <c r="F5" s="9"/>
      <c r="G5" s="9"/>
      <c r="H5" s="9"/>
      <c r="I5" s="9"/>
      <c r="J5" s="9"/>
      <c r="K5" s="9"/>
      <c r="L5" s="9"/>
      <c r="M5" s="9"/>
    </row>
    <row r="6" spans="1:14" outlineLevel="1">
      <c r="A6" s="62" t="s">
        <v>136</v>
      </c>
      <c r="B6" s="56"/>
      <c r="C6" s="57"/>
      <c r="D6" s="56"/>
      <c r="F6" s="62" t="s">
        <v>222</v>
      </c>
      <c r="G6" s="164"/>
      <c r="H6" s="167"/>
      <c r="I6" s="167"/>
      <c r="J6" s="167"/>
      <c r="K6" s="167"/>
      <c r="L6" s="167"/>
      <c r="M6" s="167"/>
      <c r="N6" s="167"/>
    </row>
    <row r="7" spans="1:14" outlineLevel="1">
      <c r="A7" s="4" t="s">
        <v>111</v>
      </c>
      <c r="D7" s="54" t="s">
        <v>240</v>
      </c>
      <c r="F7" s="55" t="s">
        <v>223</v>
      </c>
      <c r="G7" s="55">
        <f>MATCH(G2,H7:J7,0)</f>
        <v>1</v>
      </c>
      <c r="H7" s="177" t="s">
        <v>244</v>
      </c>
      <c r="I7" s="177" t="s">
        <v>245</v>
      </c>
      <c r="J7" s="177" t="s">
        <v>246</v>
      </c>
      <c r="K7" s="55"/>
      <c r="L7" s="55"/>
      <c r="M7" s="55"/>
      <c r="N7" s="55"/>
    </row>
    <row r="8" spans="1:14" outlineLevel="1">
      <c r="A8" s="4" t="str">
        <f>D7&amp;" Share Price (if available)"</f>
        <v>Company Inc. Share Price (if available)</v>
      </c>
      <c r="C8" s="53"/>
      <c r="D8" s="92">
        <v>15</v>
      </c>
      <c r="F8" s="27"/>
    </row>
    <row r="9" spans="1:14" outlineLevel="1">
      <c r="C9" s="53"/>
      <c r="D9" s="92"/>
      <c r="F9" s="16" t="s">
        <v>112</v>
      </c>
      <c r="G9" s="76"/>
      <c r="H9" s="76">
        <v>3.5999999999999997E-2</v>
      </c>
      <c r="I9" s="76">
        <v>3.5999999999999997E-2</v>
      </c>
      <c r="J9" s="76">
        <v>3.5999999999999997E-2</v>
      </c>
      <c r="K9" s="76">
        <v>3.5999999999999997E-2</v>
      </c>
      <c r="L9" s="76">
        <v>3.5999999999999997E-2</v>
      </c>
      <c r="M9" s="76">
        <v>3.5999999999999997E-2</v>
      </c>
      <c r="N9" s="76">
        <v>3.5999999999999997E-2</v>
      </c>
    </row>
    <row r="10" spans="1:14" outlineLevel="1">
      <c r="A10" s="4" t="s">
        <v>84</v>
      </c>
      <c r="D10" s="50">
        <v>43190</v>
      </c>
      <c r="F10" s="4" t="s">
        <v>89</v>
      </c>
      <c r="H10" s="61">
        <v>0.4</v>
      </c>
      <c r="I10" s="61">
        <v>0.4</v>
      </c>
      <c r="J10" s="61">
        <v>0.38</v>
      </c>
      <c r="K10" s="61">
        <v>0.375</v>
      </c>
      <c r="L10" s="61">
        <v>0.35</v>
      </c>
      <c r="M10" s="61">
        <v>0.35</v>
      </c>
      <c r="N10" s="61">
        <v>0.35</v>
      </c>
    </row>
    <row r="11" spans="1:14" outlineLevel="1">
      <c r="A11" s="4" t="s">
        <v>195</v>
      </c>
      <c r="D11" s="142">
        <v>2018</v>
      </c>
      <c r="F11" s="4" t="s">
        <v>113</v>
      </c>
      <c r="H11" s="61">
        <v>0.14699999999999999</v>
      </c>
      <c r="I11" s="61">
        <v>0.14699999999999999</v>
      </c>
      <c r="J11" s="61">
        <v>0.14699999999999999</v>
      </c>
      <c r="K11" s="61">
        <v>0.14699999999999999</v>
      </c>
      <c r="L11" s="61">
        <v>0.14699999999999999</v>
      </c>
      <c r="M11" s="61">
        <v>0.14699999999999999</v>
      </c>
      <c r="N11" s="61">
        <v>0.14699999999999999</v>
      </c>
    </row>
    <row r="12" spans="1:14" outlineLevel="1">
      <c r="A12" s="4" t="s">
        <v>227</v>
      </c>
      <c r="D12" s="142">
        <v>12</v>
      </c>
      <c r="F12" s="58" t="s">
        <v>114</v>
      </c>
      <c r="H12" s="32">
        <v>8400</v>
      </c>
      <c r="I12" s="32">
        <v>8400</v>
      </c>
      <c r="J12" s="32">
        <v>7900</v>
      </c>
      <c r="K12" s="32">
        <v>7900</v>
      </c>
      <c r="L12" s="32">
        <v>8100</v>
      </c>
      <c r="M12" s="32">
        <v>8800</v>
      </c>
      <c r="N12" s="32">
        <v>8800</v>
      </c>
    </row>
    <row r="13" spans="1:14" outlineLevel="1">
      <c r="A13" s="4" t="s">
        <v>228</v>
      </c>
      <c r="D13" s="142">
        <v>31</v>
      </c>
      <c r="F13" s="4" t="s">
        <v>117</v>
      </c>
      <c r="H13" s="93">
        <v>12</v>
      </c>
      <c r="I13" s="93">
        <v>12</v>
      </c>
      <c r="J13" s="93">
        <v>12</v>
      </c>
      <c r="K13" s="93">
        <v>12</v>
      </c>
      <c r="L13" s="93">
        <v>12</v>
      </c>
      <c r="M13" s="93">
        <v>12</v>
      </c>
      <c r="N13" s="93">
        <v>12</v>
      </c>
    </row>
    <row r="14" spans="1:14" outlineLevel="1">
      <c r="A14" s="4" t="s">
        <v>58</v>
      </c>
      <c r="D14" s="54" t="s">
        <v>241</v>
      </c>
      <c r="F14" s="4" t="s">
        <v>116</v>
      </c>
      <c r="H14" s="93">
        <v>30</v>
      </c>
      <c r="I14" s="93">
        <v>30</v>
      </c>
      <c r="J14" s="93">
        <v>30</v>
      </c>
      <c r="K14" s="93">
        <v>30</v>
      </c>
      <c r="L14" s="93">
        <v>30</v>
      </c>
      <c r="M14" s="93">
        <v>30</v>
      </c>
      <c r="N14" s="93">
        <v>30</v>
      </c>
    </row>
    <row r="15" spans="1:14" outlineLevel="1">
      <c r="A15" s="4" t="s">
        <v>59</v>
      </c>
      <c r="D15" s="54" t="s">
        <v>242</v>
      </c>
      <c r="F15" s="19" t="s">
        <v>115</v>
      </c>
      <c r="H15" s="165">
        <v>75</v>
      </c>
      <c r="I15" s="165">
        <v>75</v>
      </c>
      <c r="J15" s="165">
        <v>75</v>
      </c>
      <c r="K15" s="165">
        <v>75</v>
      </c>
      <c r="L15" s="165">
        <v>75</v>
      </c>
      <c r="M15" s="165">
        <v>75</v>
      </c>
      <c r="N15" s="165">
        <v>75</v>
      </c>
    </row>
    <row r="16" spans="1:14" outlineLevel="1">
      <c r="A16" s="4" t="s">
        <v>224</v>
      </c>
      <c r="D16" s="32">
        <v>365</v>
      </c>
      <c r="F16" s="19" t="s">
        <v>225</v>
      </c>
      <c r="H16" s="166">
        <v>0.1</v>
      </c>
      <c r="I16" s="166">
        <v>0.1</v>
      </c>
      <c r="J16" s="166">
        <v>9.6000000000000002E-2</v>
      </c>
      <c r="K16" s="166">
        <v>9.6000000000000002E-2</v>
      </c>
      <c r="L16" s="166">
        <v>9.1999999999999998E-2</v>
      </c>
      <c r="M16" s="166">
        <v>8.5999999999999993E-2</v>
      </c>
      <c r="N16" s="166">
        <v>8.5999999999999993E-2</v>
      </c>
    </row>
    <row r="17" spans="1:14" outlineLevel="1">
      <c r="F17" s="4" t="s">
        <v>226</v>
      </c>
      <c r="H17" s="175">
        <v>0.17499999999999999</v>
      </c>
      <c r="I17" s="175">
        <v>0.17499999999999999</v>
      </c>
      <c r="J17" s="175">
        <v>0.17499999999999999</v>
      </c>
      <c r="K17" s="175">
        <v>0.17499999999999999</v>
      </c>
      <c r="L17" s="175">
        <v>0.17499999999999999</v>
      </c>
      <c r="M17" s="175">
        <v>0.17499999999999999</v>
      </c>
      <c r="N17" s="175">
        <v>0.17499999999999999</v>
      </c>
    </row>
    <row r="18" spans="1:14" outlineLevel="1">
      <c r="A18" s="4" t="s">
        <v>137</v>
      </c>
      <c r="D18" s="32">
        <v>30000</v>
      </c>
      <c r="F18" s="27"/>
    </row>
    <row r="19" spans="1:14" outlineLevel="1">
      <c r="F19" s="16" t="s">
        <v>112</v>
      </c>
      <c r="G19" s="76"/>
      <c r="H19" s="76">
        <v>0.04</v>
      </c>
      <c r="I19" s="76">
        <v>4.4999999999999998E-2</v>
      </c>
      <c r="J19" s="76">
        <v>4.4999999999999998E-2</v>
      </c>
      <c r="K19" s="76">
        <v>5.1999999999999998E-2</v>
      </c>
      <c r="L19" s="76">
        <v>5.1999999999999998E-2</v>
      </c>
      <c r="M19" s="76">
        <v>5.8000000000000003E-2</v>
      </c>
      <c r="N19" s="76">
        <v>5.8000000000000003E-2</v>
      </c>
    </row>
    <row r="20" spans="1:14" outlineLevel="1">
      <c r="A20" s="4" t="str">
        <f>D7&amp;" Debt"</f>
        <v>Company Inc. Debt</v>
      </c>
      <c r="D20" s="47">
        <f>G142+G145</f>
        <v>25810</v>
      </c>
      <c r="F20" s="4" t="s">
        <v>89</v>
      </c>
      <c r="H20" s="61">
        <v>0.4</v>
      </c>
      <c r="I20" s="61">
        <v>0.4</v>
      </c>
      <c r="J20" s="61">
        <v>0.38</v>
      </c>
      <c r="K20" s="61">
        <v>0.375</v>
      </c>
      <c r="L20" s="61">
        <v>0.35</v>
      </c>
      <c r="M20" s="61">
        <v>0.35</v>
      </c>
      <c r="N20" s="61">
        <v>0.35</v>
      </c>
    </row>
    <row r="21" spans="1:14" outlineLevel="1">
      <c r="A21" s="4" t="str">
        <f>D7&amp;" Target Cash"</f>
        <v>Company Inc. Target Cash</v>
      </c>
      <c r="D21" s="47">
        <f>G133</f>
        <v>78237.254164695405</v>
      </c>
      <c r="F21" s="4" t="s">
        <v>113</v>
      </c>
      <c r="H21" s="61">
        <v>0.14699999999999999</v>
      </c>
      <c r="I21" s="61">
        <v>0.14699999999999999</v>
      </c>
      <c r="J21" s="61">
        <v>0.14699999999999999</v>
      </c>
      <c r="K21" s="61">
        <v>0.14699999999999999</v>
      </c>
      <c r="L21" s="61">
        <v>0.14699999999999999</v>
      </c>
      <c r="M21" s="61">
        <v>0.14699999999999999</v>
      </c>
      <c r="N21" s="61">
        <v>0.14699999999999999</v>
      </c>
    </row>
    <row r="22" spans="1:14" outlineLevel="1">
      <c r="A22" s="4" t="s">
        <v>81</v>
      </c>
      <c r="D22" s="32">
        <v>1500</v>
      </c>
      <c r="F22" s="58" t="s">
        <v>114</v>
      </c>
      <c r="H22" s="32">
        <v>8400</v>
      </c>
      <c r="I22" s="32">
        <v>8400</v>
      </c>
      <c r="J22" s="32">
        <v>7900</v>
      </c>
      <c r="K22" s="32">
        <v>7900</v>
      </c>
      <c r="L22" s="32">
        <v>8100</v>
      </c>
      <c r="M22" s="32">
        <v>8800</v>
      </c>
      <c r="N22" s="32">
        <v>8800</v>
      </c>
    </row>
    <row r="23" spans="1:14" outlineLevel="1">
      <c r="A23" s="4" t="s">
        <v>147</v>
      </c>
      <c r="D23" s="14">
        <v>16000</v>
      </c>
      <c r="F23" s="4" t="s">
        <v>117</v>
      </c>
      <c r="H23" s="93">
        <v>12</v>
      </c>
      <c r="I23" s="93">
        <v>12</v>
      </c>
      <c r="J23" s="93">
        <v>12</v>
      </c>
      <c r="K23" s="93">
        <v>12</v>
      </c>
      <c r="L23" s="93">
        <v>12</v>
      </c>
      <c r="M23" s="93">
        <v>12</v>
      </c>
      <c r="N23" s="93">
        <v>12</v>
      </c>
    </row>
    <row r="24" spans="1:14" outlineLevel="1">
      <c r="A24" s="4" t="s">
        <v>63</v>
      </c>
      <c r="D24" s="32">
        <v>3200</v>
      </c>
      <c r="F24" s="4" t="s">
        <v>116</v>
      </c>
      <c r="H24" s="93">
        <v>30</v>
      </c>
      <c r="I24" s="93">
        <v>30</v>
      </c>
      <c r="J24" s="93">
        <v>30</v>
      </c>
      <c r="K24" s="93">
        <v>30</v>
      </c>
      <c r="L24" s="93">
        <v>30</v>
      </c>
      <c r="M24" s="93">
        <v>30</v>
      </c>
      <c r="N24" s="93">
        <v>30</v>
      </c>
    </row>
    <row r="25" spans="1:14" outlineLevel="1">
      <c r="F25" s="19" t="s">
        <v>115</v>
      </c>
      <c r="H25" s="165">
        <v>75</v>
      </c>
      <c r="I25" s="165">
        <v>75</v>
      </c>
      <c r="J25" s="165">
        <v>75</v>
      </c>
      <c r="K25" s="165">
        <v>75</v>
      </c>
      <c r="L25" s="165">
        <v>75</v>
      </c>
      <c r="M25" s="165">
        <v>75</v>
      </c>
      <c r="N25" s="165">
        <v>75</v>
      </c>
    </row>
    <row r="26" spans="1:14" outlineLevel="1">
      <c r="A26" s="4" t="s">
        <v>50</v>
      </c>
      <c r="D26" s="61">
        <v>0.3</v>
      </c>
      <c r="F26" s="19" t="s">
        <v>225</v>
      </c>
      <c r="H26" s="166">
        <v>0.1</v>
      </c>
      <c r="I26" s="166">
        <v>0.1</v>
      </c>
      <c r="J26" s="166">
        <v>9.6000000000000002E-2</v>
      </c>
      <c r="K26" s="166">
        <v>9.6000000000000002E-2</v>
      </c>
      <c r="L26" s="166">
        <v>9.1999999999999998E-2</v>
      </c>
      <c r="M26" s="166">
        <v>8.5999999999999993E-2</v>
      </c>
      <c r="N26" s="166">
        <v>8.5999999999999993E-2</v>
      </c>
    </row>
    <row r="27" spans="1:14" outlineLevel="1">
      <c r="A27" s="4" t="str">
        <f>D7&amp;" FD Shares Outstanding (000s)"</f>
        <v>Company Inc. FD Shares Outstanding (000s)</v>
      </c>
      <c r="D27" s="32">
        <v>17000</v>
      </c>
      <c r="F27" s="4" t="s">
        <v>226</v>
      </c>
      <c r="H27" s="175">
        <v>0.17499999999999999</v>
      </c>
      <c r="I27" s="175">
        <v>0.17499999999999999</v>
      </c>
      <c r="J27" s="175">
        <v>0.17499999999999999</v>
      </c>
      <c r="K27" s="175">
        <v>0.17499999999999999</v>
      </c>
      <c r="L27" s="175">
        <v>0.17499999999999999</v>
      </c>
      <c r="M27" s="175">
        <v>0.17499999999999999</v>
      </c>
      <c r="N27" s="175">
        <v>0.17499999999999999</v>
      </c>
    </row>
    <row r="28" spans="1:14" outlineLevel="1">
      <c r="D28" s="8"/>
      <c r="F28" s="27"/>
    </row>
    <row r="29" spans="1:14" outlineLevel="1">
      <c r="A29" s="62" t="s">
        <v>215</v>
      </c>
      <c r="B29" s="56"/>
      <c r="C29" s="57"/>
      <c r="D29" s="56"/>
      <c r="F29" s="16" t="s">
        <v>112</v>
      </c>
      <c r="G29" s="76"/>
      <c r="H29" s="76">
        <v>0.03</v>
      </c>
      <c r="I29" s="76">
        <v>0.03</v>
      </c>
      <c r="J29" s="76">
        <v>2.5000000000000001E-2</v>
      </c>
      <c r="K29" s="76">
        <v>2.1000000000000001E-2</v>
      </c>
      <c r="L29" s="76">
        <v>1.2E-2</v>
      </c>
      <c r="M29" s="76">
        <v>1.0999999999999999E-2</v>
      </c>
      <c r="N29" s="76">
        <v>8.9999999999999993E-3</v>
      </c>
    </row>
    <row r="30" spans="1:14" outlineLevel="1">
      <c r="A30" s="4" t="s">
        <v>216</v>
      </c>
      <c r="D30" s="161" t="str">
        <f>IF(ABS(SUM(D153:N153))&gt;0.01,"ERROR","OK")</f>
        <v>OK</v>
      </c>
      <c r="F30" s="4" t="s">
        <v>89</v>
      </c>
      <c r="H30" s="61">
        <v>0.4</v>
      </c>
      <c r="I30" s="61">
        <v>0.4</v>
      </c>
      <c r="J30" s="61">
        <v>0.38</v>
      </c>
      <c r="K30" s="61">
        <v>0.375</v>
      </c>
      <c r="L30" s="61">
        <v>0.35</v>
      </c>
      <c r="M30" s="61">
        <v>0.35</v>
      </c>
      <c r="N30" s="61">
        <v>0.35</v>
      </c>
    </row>
    <row r="31" spans="1:14" outlineLevel="1">
      <c r="A31" s="4" t="s">
        <v>217</v>
      </c>
      <c r="C31" s="4"/>
      <c r="D31" s="53" t="str">
        <f>IF(ABS(SUM(D288,L288))&gt;0.01,"ERROR","OK")</f>
        <v>OK</v>
      </c>
      <c r="F31" s="4" t="s">
        <v>113</v>
      </c>
      <c r="H31" s="61">
        <v>0.14699999999999999</v>
      </c>
      <c r="I31" s="61">
        <v>0.14699999999999999</v>
      </c>
      <c r="J31" s="61">
        <v>0.14699999999999999</v>
      </c>
      <c r="K31" s="61">
        <v>0.14699999999999999</v>
      </c>
      <c r="L31" s="61">
        <v>0.14699999999999999</v>
      </c>
      <c r="M31" s="61">
        <v>0.14699999999999999</v>
      </c>
      <c r="N31" s="61">
        <v>0.14699999999999999</v>
      </c>
    </row>
    <row r="32" spans="1:14" outlineLevel="1">
      <c r="A32" s="4" t="s">
        <v>229</v>
      </c>
      <c r="D32" s="53" t="str">
        <f>IF(G58&gt;1,"ERROR","OK")</f>
        <v>OK</v>
      </c>
      <c r="F32" s="58" t="s">
        <v>114</v>
      </c>
      <c r="H32" s="32">
        <v>8400</v>
      </c>
      <c r="I32" s="32">
        <v>8400</v>
      </c>
      <c r="J32" s="32">
        <v>7900</v>
      </c>
      <c r="K32" s="32">
        <v>7900</v>
      </c>
      <c r="L32" s="32">
        <v>8100</v>
      </c>
      <c r="M32" s="32">
        <v>8800</v>
      </c>
      <c r="N32" s="32">
        <v>8800</v>
      </c>
    </row>
    <row r="33" spans="1:14" outlineLevel="1">
      <c r="A33" s="4" t="s">
        <v>218</v>
      </c>
      <c r="D33" s="53" t="str">
        <f ca="1">IF(C69=H69,"OK","ERROR")</f>
        <v>OK</v>
      </c>
      <c r="F33" s="4" t="s">
        <v>117</v>
      </c>
      <c r="H33" s="93">
        <v>12</v>
      </c>
      <c r="I33" s="93">
        <v>12</v>
      </c>
      <c r="J33" s="93">
        <v>12</v>
      </c>
      <c r="K33" s="93">
        <v>12</v>
      </c>
      <c r="L33" s="93">
        <v>12</v>
      </c>
      <c r="M33" s="93">
        <v>12</v>
      </c>
      <c r="N33" s="93">
        <v>12</v>
      </c>
    </row>
    <row r="34" spans="1:14" outlineLevel="1">
      <c r="A34" s="4" t="s">
        <v>237</v>
      </c>
      <c r="D34" s="53">
        <f>C252</f>
        <v>0</v>
      </c>
      <c r="F34" s="4" t="s">
        <v>116</v>
      </c>
      <c r="H34" s="93">
        <v>30</v>
      </c>
      <c r="I34" s="93">
        <v>30</v>
      </c>
      <c r="J34" s="93">
        <v>30</v>
      </c>
      <c r="K34" s="93">
        <v>30</v>
      </c>
      <c r="L34" s="93">
        <v>30</v>
      </c>
      <c r="M34" s="93">
        <v>30</v>
      </c>
      <c r="N34" s="93">
        <v>30</v>
      </c>
    </row>
    <row r="35" spans="1:14" outlineLevel="1">
      <c r="F35" s="19" t="s">
        <v>115</v>
      </c>
      <c r="H35" s="165">
        <v>75</v>
      </c>
      <c r="I35" s="165">
        <v>75</v>
      </c>
      <c r="J35" s="165">
        <v>75</v>
      </c>
      <c r="K35" s="165">
        <v>75</v>
      </c>
      <c r="L35" s="165">
        <v>75</v>
      </c>
      <c r="M35" s="165">
        <v>75</v>
      </c>
      <c r="N35" s="165">
        <v>75</v>
      </c>
    </row>
    <row r="36" spans="1:14" outlineLevel="1">
      <c r="A36" s="62" t="s">
        <v>60</v>
      </c>
      <c r="B36" s="56"/>
      <c r="C36" s="57"/>
      <c r="D36" s="56"/>
      <c r="F36" s="19" t="s">
        <v>225</v>
      </c>
      <c r="H36" s="166">
        <v>0.11</v>
      </c>
      <c r="I36" s="166">
        <v>0.11</v>
      </c>
      <c r="J36" s="166">
        <v>0.108</v>
      </c>
      <c r="K36" s="166">
        <v>0.108</v>
      </c>
      <c r="L36" s="166">
        <v>0.104</v>
      </c>
      <c r="M36" s="166">
        <v>0.10100000000000001</v>
      </c>
      <c r="N36" s="166">
        <v>0.10100000000000001</v>
      </c>
    </row>
    <row r="37" spans="1:14" outlineLevel="1">
      <c r="A37" s="4" t="s">
        <v>51</v>
      </c>
      <c r="D37" s="4">
        <f>IF(C47="OFF",D44*D18,D40-D21+D20)</f>
        <v>159000</v>
      </c>
      <c r="F37" s="4" t="s">
        <v>226</v>
      </c>
      <c r="H37" s="175">
        <v>0.17499999999999999</v>
      </c>
      <c r="I37" s="175">
        <v>0.17499999999999999</v>
      </c>
      <c r="J37" s="175">
        <v>0.17499999999999999</v>
      </c>
      <c r="K37" s="175">
        <v>0.17499999999999999</v>
      </c>
      <c r="L37" s="175">
        <v>0.17499999999999999</v>
      </c>
      <c r="M37" s="175">
        <v>0.17499999999999999</v>
      </c>
      <c r="N37" s="175">
        <v>0.17499999999999999</v>
      </c>
    </row>
    <row r="38" spans="1:14" outlineLevel="1">
      <c r="A38" s="4" t="s">
        <v>120</v>
      </c>
      <c r="D38" s="4">
        <f>-D20</f>
        <v>-25810</v>
      </c>
      <c r="F38" s="15"/>
    </row>
    <row r="39" spans="1:14" outlineLevel="1">
      <c r="A39" s="4" t="s">
        <v>121</v>
      </c>
      <c r="D39" s="4">
        <f>D21</f>
        <v>78237.254164695405</v>
      </c>
      <c r="F39" s="16" t="s">
        <v>112</v>
      </c>
      <c r="G39" s="76"/>
      <c r="H39" s="168">
        <f>CHOOSE($G$7,H9,H19,H29)</f>
        <v>3.5999999999999997E-2</v>
      </c>
      <c r="I39" s="168">
        <f t="shared" ref="I39:N39" si="0">CHOOSE($G$7,I9,I19,I29)</f>
        <v>3.5999999999999997E-2</v>
      </c>
      <c r="J39" s="168">
        <f t="shared" si="0"/>
        <v>3.5999999999999997E-2</v>
      </c>
      <c r="K39" s="168">
        <f t="shared" si="0"/>
        <v>3.5999999999999997E-2</v>
      </c>
      <c r="L39" s="168">
        <f t="shared" si="0"/>
        <v>3.5999999999999997E-2</v>
      </c>
      <c r="M39" s="168">
        <f t="shared" si="0"/>
        <v>3.5999999999999997E-2</v>
      </c>
      <c r="N39" s="168">
        <f t="shared" si="0"/>
        <v>3.5999999999999997E-2</v>
      </c>
    </row>
    <row r="40" spans="1:14" outlineLevel="1">
      <c r="A40" s="17" t="s">
        <v>122</v>
      </c>
      <c r="B40" s="17"/>
      <c r="C40" s="18"/>
      <c r="D40" s="97">
        <f>IF(C47="OFF",SUM(D37:D39),D47*D27)</f>
        <v>211427.25416469539</v>
      </c>
      <c r="F40" s="4" t="s">
        <v>89</v>
      </c>
      <c r="H40" s="169">
        <f>CHOOSE($G$7,H10,H20,H30)</f>
        <v>0.4</v>
      </c>
      <c r="I40" s="169">
        <f t="shared" ref="I40:N40" si="1">CHOOSE($G$7,I10,I20,I30)</f>
        <v>0.4</v>
      </c>
      <c r="J40" s="169">
        <f t="shared" si="1"/>
        <v>0.38</v>
      </c>
      <c r="K40" s="169">
        <f t="shared" si="1"/>
        <v>0.375</v>
      </c>
      <c r="L40" s="169">
        <f t="shared" si="1"/>
        <v>0.35</v>
      </c>
      <c r="M40" s="169">
        <f t="shared" si="1"/>
        <v>0.35</v>
      </c>
      <c r="N40" s="169">
        <f t="shared" si="1"/>
        <v>0.35</v>
      </c>
    </row>
    <row r="41" spans="1:14" outlineLevel="1">
      <c r="A41" s="41" t="s">
        <v>123</v>
      </c>
      <c r="B41" s="41"/>
      <c r="C41" s="67"/>
      <c r="D41" s="95">
        <f>D40/D27</f>
        <v>12.436897303805612</v>
      </c>
      <c r="F41" s="4" t="s">
        <v>113</v>
      </c>
      <c r="H41" s="169">
        <f>CHOOSE($G$7,H11,H21,H31)</f>
        <v>0.14699999999999999</v>
      </c>
      <c r="I41" s="169">
        <f t="shared" ref="I41:N41" si="2">CHOOSE($G$7,I11,I21,I31)</f>
        <v>0.14699999999999999</v>
      </c>
      <c r="J41" s="169">
        <f t="shared" si="2"/>
        <v>0.14699999999999999</v>
      </c>
      <c r="K41" s="169">
        <f t="shared" si="2"/>
        <v>0.14699999999999999</v>
      </c>
      <c r="L41" s="169">
        <f t="shared" si="2"/>
        <v>0.14699999999999999</v>
      </c>
      <c r="M41" s="169">
        <f t="shared" si="2"/>
        <v>0.14699999999999999</v>
      </c>
      <c r="N41" s="169">
        <f t="shared" si="2"/>
        <v>0.14699999999999999</v>
      </c>
    </row>
    <row r="42" spans="1:14" outlineLevel="1">
      <c r="A42" s="41" t="s">
        <v>124</v>
      </c>
      <c r="B42" s="41"/>
      <c r="C42" s="67"/>
      <c r="D42" s="96">
        <f>D41/D8-1</f>
        <v>-0.17087351307962584</v>
      </c>
      <c r="F42" s="58" t="s">
        <v>114</v>
      </c>
      <c r="H42" s="47">
        <f>CHOOSE($G$7,H12,H22,H32)</f>
        <v>8400</v>
      </c>
      <c r="I42" s="47">
        <f t="shared" ref="I42:N42" si="3">CHOOSE($G$7,I12,I22,I32)</f>
        <v>8400</v>
      </c>
      <c r="J42" s="47">
        <f t="shared" si="3"/>
        <v>7900</v>
      </c>
      <c r="K42" s="47">
        <f t="shared" si="3"/>
        <v>7900</v>
      </c>
      <c r="L42" s="47">
        <f t="shared" si="3"/>
        <v>8100</v>
      </c>
      <c r="M42" s="47">
        <f t="shared" si="3"/>
        <v>8800</v>
      </c>
      <c r="N42" s="47">
        <f t="shared" si="3"/>
        <v>8800</v>
      </c>
    </row>
    <row r="43" spans="1:14" outlineLevel="1">
      <c r="F43" s="4" t="s">
        <v>117</v>
      </c>
      <c r="H43" s="170">
        <f>CHOOSE($G$7,H13,H23,H33)</f>
        <v>12</v>
      </c>
      <c r="I43" s="170">
        <f t="shared" ref="I43:N43" si="4">CHOOSE($G$7,I13,I23,I33)</f>
        <v>12</v>
      </c>
      <c r="J43" s="170">
        <f t="shared" si="4"/>
        <v>12</v>
      </c>
      <c r="K43" s="170">
        <f t="shared" si="4"/>
        <v>12</v>
      </c>
      <c r="L43" s="170">
        <f t="shared" si="4"/>
        <v>12</v>
      </c>
      <c r="M43" s="170">
        <f t="shared" si="4"/>
        <v>12</v>
      </c>
      <c r="N43" s="170">
        <f t="shared" si="4"/>
        <v>12</v>
      </c>
    </row>
    <row r="44" spans="1:14" outlineLevel="1">
      <c r="A44" s="19" t="s">
        <v>236</v>
      </c>
      <c r="D44" s="94">
        <v>5.3</v>
      </c>
      <c r="F44" s="4" t="s">
        <v>116</v>
      </c>
      <c r="H44" s="170">
        <f>CHOOSE($G$7,H14,H24,H34)</f>
        <v>30</v>
      </c>
      <c r="I44" s="170">
        <f t="shared" ref="I44:N44" si="5">CHOOSE($G$7,I14,I24,I34)</f>
        <v>30</v>
      </c>
      <c r="J44" s="170">
        <f t="shared" si="5"/>
        <v>30</v>
      </c>
      <c r="K44" s="170">
        <f t="shared" si="5"/>
        <v>30</v>
      </c>
      <c r="L44" s="170">
        <f t="shared" si="5"/>
        <v>30</v>
      </c>
      <c r="M44" s="170">
        <f t="shared" si="5"/>
        <v>30</v>
      </c>
      <c r="N44" s="170">
        <f t="shared" si="5"/>
        <v>30</v>
      </c>
    </row>
    <row r="45" spans="1:14" outlineLevel="1">
      <c r="A45" s="19" t="s">
        <v>119</v>
      </c>
      <c r="D45" s="94">
        <v>5.3</v>
      </c>
      <c r="F45" s="19" t="s">
        <v>115</v>
      </c>
      <c r="H45" s="171">
        <f>CHOOSE($G$7,H15,H25,H35)</f>
        <v>75</v>
      </c>
      <c r="I45" s="171">
        <f t="shared" ref="I45:N45" si="6">CHOOSE($G$7,I15,I25,I35)</f>
        <v>75</v>
      </c>
      <c r="J45" s="171">
        <f t="shared" si="6"/>
        <v>75</v>
      </c>
      <c r="K45" s="171">
        <f t="shared" si="6"/>
        <v>75</v>
      </c>
      <c r="L45" s="171">
        <f t="shared" si="6"/>
        <v>75</v>
      </c>
      <c r="M45" s="171">
        <f t="shared" si="6"/>
        <v>75</v>
      </c>
      <c r="N45" s="171">
        <f t="shared" si="6"/>
        <v>75</v>
      </c>
    </row>
    <row r="46" spans="1:14" outlineLevel="1">
      <c r="F46" s="19" t="s">
        <v>225</v>
      </c>
      <c r="H46" s="172">
        <f>CHOOSE($G$7,H16,H26,H36)</f>
        <v>0.1</v>
      </c>
      <c r="I46" s="172">
        <f t="shared" ref="I46:N46" si="7">CHOOSE($G$7,I16,I26,I36)</f>
        <v>0.1</v>
      </c>
      <c r="J46" s="172">
        <f t="shared" si="7"/>
        <v>9.6000000000000002E-2</v>
      </c>
      <c r="K46" s="172">
        <f t="shared" si="7"/>
        <v>9.6000000000000002E-2</v>
      </c>
      <c r="L46" s="172">
        <f t="shared" si="7"/>
        <v>9.1999999999999998E-2</v>
      </c>
      <c r="M46" s="172">
        <f t="shared" si="7"/>
        <v>8.5999999999999993E-2</v>
      </c>
      <c r="N46" s="172">
        <f t="shared" si="7"/>
        <v>8.5999999999999993E-2</v>
      </c>
    </row>
    <row r="47" spans="1:14" outlineLevel="1">
      <c r="A47" s="19" t="s">
        <v>214</v>
      </c>
      <c r="C47" s="160" t="s">
        <v>247</v>
      </c>
      <c r="D47" s="176">
        <v>14</v>
      </c>
      <c r="F47" s="4" t="s">
        <v>226</v>
      </c>
      <c r="H47" s="173">
        <f>CHOOSE($G$7,H17,H27,H37)</f>
        <v>0.17499999999999999</v>
      </c>
      <c r="I47" s="173">
        <f t="shared" ref="I47:N47" si="8">CHOOSE($G$7,I17,I27,I37)</f>
        <v>0.17499999999999999</v>
      </c>
      <c r="J47" s="173">
        <f t="shared" si="8"/>
        <v>0.17499999999999999</v>
      </c>
      <c r="K47" s="173">
        <f t="shared" si="8"/>
        <v>0.17499999999999999</v>
      </c>
      <c r="L47" s="173">
        <f t="shared" si="8"/>
        <v>0.17499999999999999</v>
      </c>
      <c r="M47" s="173">
        <f t="shared" si="8"/>
        <v>0.17499999999999999</v>
      </c>
      <c r="N47" s="173">
        <f t="shared" si="8"/>
        <v>0.17499999999999999</v>
      </c>
    </row>
    <row r="48" spans="1:14" outlineLevel="1"/>
    <row r="49" spans="1:14" outlineLevel="1">
      <c r="A49" s="62" t="s">
        <v>56</v>
      </c>
      <c r="B49" s="56"/>
      <c r="C49" s="57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</row>
    <row r="50" spans="1:14" outlineLevel="1">
      <c r="A50" s="15"/>
      <c r="B50" s="59"/>
      <c r="C50" s="98"/>
      <c r="D50" s="59"/>
      <c r="E50" s="59"/>
      <c r="F50" s="118"/>
      <c r="G50" s="118"/>
      <c r="H50" s="99" t="s">
        <v>239</v>
      </c>
      <c r="I50" s="99"/>
      <c r="J50" s="99"/>
      <c r="K50" s="99"/>
      <c r="L50" s="99"/>
      <c r="M50" s="99"/>
      <c r="N50" s="99"/>
    </row>
    <row r="51" spans="1:14" outlineLevel="1">
      <c r="A51" s="15" t="s">
        <v>128</v>
      </c>
      <c r="B51" s="59" t="s">
        <v>131</v>
      </c>
      <c r="C51" s="98" t="s">
        <v>130</v>
      </c>
      <c r="D51" s="59" t="s">
        <v>129</v>
      </c>
      <c r="E51" s="51" t="s">
        <v>134</v>
      </c>
      <c r="F51" s="117" t="s">
        <v>133</v>
      </c>
      <c r="G51" s="117" t="s">
        <v>143</v>
      </c>
      <c r="H51" s="188">
        <v>1</v>
      </c>
      <c r="I51" s="189">
        <f>+H51+1</f>
        <v>2</v>
      </c>
      <c r="J51" s="189">
        <f t="shared" ref="J51:N51" si="9">+I51+1</f>
        <v>3</v>
      </c>
      <c r="K51" s="189">
        <f t="shared" si="9"/>
        <v>4</v>
      </c>
      <c r="L51" s="189">
        <f t="shared" si="9"/>
        <v>5</v>
      </c>
      <c r="M51" s="189">
        <f t="shared" si="9"/>
        <v>6</v>
      </c>
      <c r="N51" s="189">
        <f t="shared" si="9"/>
        <v>7</v>
      </c>
    </row>
    <row r="52" spans="1:14" outlineLevel="1">
      <c r="A52" s="49" t="s">
        <v>138</v>
      </c>
      <c r="B52" s="110"/>
      <c r="C52" s="44">
        <f>C63</f>
        <v>62237.254164695405</v>
      </c>
      <c r="D52" s="86">
        <f ca="1">C52/$C$58</f>
        <v>0.25415719368744882</v>
      </c>
      <c r="E52" s="76"/>
      <c r="F52" s="104"/>
      <c r="G52" s="105"/>
      <c r="H52" s="76"/>
      <c r="I52" s="76"/>
      <c r="J52" s="76"/>
      <c r="K52" s="76"/>
      <c r="L52" s="76"/>
      <c r="M52" s="76"/>
      <c r="N52" s="76"/>
    </row>
    <row r="53" spans="1:14" s="19" customFormat="1" outlineLevel="1">
      <c r="A53" s="29" t="s">
        <v>127</v>
      </c>
      <c r="B53" s="151">
        <v>0.3</v>
      </c>
      <c r="C53" s="20">
        <f>B53*$D$18</f>
        <v>9000</v>
      </c>
      <c r="D53" s="106">
        <f t="shared" ref="D53:D57" ca="1" si="10">C53/$C$58</f>
        <v>3.6753143657879982E-2</v>
      </c>
      <c r="E53" s="107">
        <v>1.7999999999999999E-2</v>
      </c>
      <c r="F53" s="108">
        <v>2.5000000000000001E-2</v>
      </c>
      <c r="G53" s="101" t="s">
        <v>243</v>
      </c>
      <c r="H53" s="107">
        <v>0</v>
      </c>
      <c r="I53" s="107">
        <v>0</v>
      </c>
      <c r="J53" s="107">
        <v>0</v>
      </c>
      <c r="K53" s="107">
        <v>0</v>
      </c>
      <c r="L53" s="107">
        <v>0</v>
      </c>
      <c r="M53" s="107">
        <v>0</v>
      </c>
      <c r="N53" s="107">
        <v>0</v>
      </c>
    </row>
    <row r="54" spans="1:14" outlineLevel="1">
      <c r="A54" s="32" t="s">
        <v>125</v>
      </c>
      <c r="B54" s="151">
        <v>1.8</v>
      </c>
      <c r="C54" s="8">
        <f t="shared" ref="C54:C56" si="11">B54*$D$18</f>
        <v>54000</v>
      </c>
      <c r="D54" s="60">
        <f t="shared" ca="1" si="10"/>
        <v>0.22051886194727988</v>
      </c>
      <c r="E54" s="61">
        <v>1.7999999999999999E-2</v>
      </c>
      <c r="F54" s="100">
        <v>0.05</v>
      </c>
      <c r="G54" s="108">
        <v>0.5</v>
      </c>
      <c r="H54" s="61">
        <v>0.1</v>
      </c>
      <c r="I54" s="61">
        <v>0.1</v>
      </c>
      <c r="J54" s="61">
        <v>0.1</v>
      </c>
      <c r="K54" s="61">
        <v>0.1</v>
      </c>
      <c r="L54" s="61">
        <v>0.6</v>
      </c>
      <c r="M54" s="61">
        <v>0</v>
      </c>
      <c r="N54" s="61">
        <v>0</v>
      </c>
    </row>
    <row r="55" spans="1:14" outlineLevel="1">
      <c r="A55" s="32" t="s">
        <v>126</v>
      </c>
      <c r="B55" s="151">
        <v>2.2000000000000002</v>
      </c>
      <c r="C55" s="8">
        <f t="shared" si="11"/>
        <v>66000</v>
      </c>
      <c r="D55" s="60">
        <f t="shared" ca="1" si="10"/>
        <v>0.26952305349111988</v>
      </c>
      <c r="E55" s="61">
        <v>1.7999999999999999E-2</v>
      </c>
      <c r="F55" s="100">
        <v>7.4999999999999997E-2</v>
      </c>
      <c r="G55" s="108">
        <v>0.5</v>
      </c>
      <c r="H55" s="61">
        <v>0.1</v>
      </c>
      <c r="I55" s="61">
        <v>0.1</v>
      </c>
      <c r="J55" s="61">
        <v>0.1</v>
      </c>
      <c r="K55" s="61">
        <v>0.1</v>
      </c>
      <c r="L55" s="61">
        <v>0.1</v>
      </c>
      <c r="M55" s="61">
        <v>0.5</v>
      </c>
      <c r="N55" s="61">
        <v>0</v>
      </c>
    </row>
    <row r="56" spans="1:14" outlineLevel="1">
      <c r="A56" s="32" t="s">
        <v>199</v>
      </c>
      <c r="B56" s="151">
        <v>0.5</v>
      </c>
      <c r="C56" s="8">
        <f t="shared" si="11"/>
        <v>15000</v>
      </c>
      <c r="D56" s="60">
        <f t="shared" ca="1" si="10"/>
        <v>6.1255239429799969E-2</v>
      </c>
      <c r="E56" s="61">
        <v>1.7999999999999999E-2</v>
      </c>
      <c r="F56" s="100">
        <v>0.1</v>
      </c>
      <c r="G56" s="100">
        <v>0</v>
      </c>
      <c r="H56" s="61">
        <v>0</v>
      </c>
      <c r="I56" s="61">
        <v>0</v>
      </c>
      <c r="J56" s="61">
        <v>0</v>
      </c>
      <c r="K56" s="61">
        <v>0</v>
      </c>
      <c r="L56" s="61">
        <v>0</v>
      </c>
      <c r="M56" s="61">
        <v>0</v>
      </c>
      <c r="N56" s="61">
        <v>1</v>
      </c>
    </row>
    <row r="57" spans="1:14" outlineLevel="1">
      <c r="A57" s="32" t="s">
        <v>135</v>
      </c>
      <c r="B57" s="55"/>
      <c r="C57" s="109">
        <f ca="1">H69-SUM(C52:C56)</f>
        <v>38639.757820383442</v>
      </c>
      <c r="D57" s="60">
        <f t="shared" ca="1" si="10"/>
        <v>0.15779250778647155</v>
      </c>
      <c r="E57" s="61">
        <v>8.9999999999999993E-3</v>
      </c>
      <c r="F57" s="101" t="s">
        <v>243</v>
      </c>
      <c r="G57" s="101" t="s">
        <v>243</v>
      </c>
      <c r="H57" s="107">
        <v>0</v>
      </c>
      <c r="I57" s="107">
        <v>0</v>
      </c>
      <c r="J57" s="107">
        <v>0</v>
      </c>
      <c r="K57" s="107">
        <v>0</v>
      </c>
      <c r="L57" s="107">
        <v>0</v>
      </c>
      <c r="M57" s="107">
        <v>0</v>
      </c>
      <c r="N57" s="107">
        <v>0</v>
      </c>
    </row>
    <row r="58" spans="1:14" outlineLevel="1">
      <c r="A58" s="17" t="s">
        <v>99</v>
      </c>
      <c r="B58" s="102"/>
      <c r="C58" s="18">
        <f ca="1">SUM(C52:C57)</f>
        <v>244877.01198507883</v>
      </c>
      <c r="D58" s="103">
        <f ca="1">SUM(D52:D57)</f>
        <v>1</v>
      </c>
      <c r="E58" s="17"/>
      <c r="F58" s="17"/>
      <c r="G58" s="138"/>
      <c r="H58" s="17"/>
      <c r="I58" s="17"/>
      <c r="J58" s="17"/>
      <c r="K58" s="17"/>
      <c r="L58" s="17"/>
      <c r="M58" s="17"/>
      <c r="N58" s="17"/>
    </row>
    <row r="59" spans="1:14" outlineLevel="1">
      <c r="B59" s="159"/>
      <c r="F59" s="22"/>
      <c r="G59" s="22"/>
      <c r="H59" s="22"/>
      <c r="J59" s="19"/>
      <c r="K59" s="22"/>
      <c r="L59" s="22"/>
      <c r="M59" s="125"/>
    </row>
    <row r="60" spans="1:14" outlineLevel="1">
      <c r="F60" s="22"/>
      <c r="G60" s="22"/>
      <c r="H60" s="22"/>
      <c r="J60" s="19"/>
      <c r="K60" s="22"/>
      <c r="L60" s="22"/>
      <c r="M60" s="22"/>
    </row>
    <row r="61" spans="1:14" outlineLevel="1">
      <c r="A61" s="62" t="s">
        <v>61</v>
      </c>
      <c r="B61" s="56"/>
      <c r="C61" s="57"/>
      <c r="D61" s="56"/>
      <c r="E61" s="62"/>
      <c r="F61" s="56"/>
      <c r="G61" s="57"/>
      <c r="H61" s="56"/>
    </row>
    <row r="62" spans="1:14" outlineLevel="1">
      <c r="A62" s="15" t="s">
        <v>62</v>
      </c>
      <c r="C62" s="4"/>
      <c r="F62" s="15" t="s">
        <v>101</v>
      </c>
    </row>
    <row r="63" spans="1:14" outlineLevel="1">
      <c r="A63" s="16" t="s">
        <v>138</v>
      </c>
      <c r="B63" s="16"/>
      <c r="C63" s="85">
        <f>D21-D23</f>
        <v>62237.254164695405</v>
      </c>
      <c r="D63" s="33"/>
      <c r="E63" s="33"/>
      <c r="F63" s="85" t="s">
        <v>57</v>
      </c>
      <c r="G63" s="85"/>
      <c r="H63" s="85">
        <f>D40</f>
        <v>211427.25416469539</v>
      </c>
    </row>
    <row r="64" spans="1:14" outlineLevel="1">
      <c r="A64" s="19" t="s">
        <v>127</v>
      </c>
      <c r="C64" s="33">
        <f>C53</f>
        <v>9000</v>
      </c>
      <c r="D64" s="33"/>
      <c r="E64" s="33"/>
      <c r="F64" s="33" t="s">
        <v>102</v>
      </c>
      <c r="G64" s="33"/>
      <c r="H64" s="33"/>
    </row>
    <row r="65" spans="1:13" outlineLevel="1">
      <c r="A65" s="19" t="s">
        <v>125</v>
      </c>
      <c r="C65" s="33">
        <f t="shared" ref="C65:C67" si="12">C54</f>
        <v>54000</v>
      </c>
      <c r="D65" s="33"/>
      <c r="E65" s="33"/>
      <c r="F65" s="33" t="s">
        <v>103</v>
      </c>
      <c r="G65" s="33"/>
      <c r="H65" s="33">
        <f>D20</f>
        <v>25810</v>
      </c>
    </row>
    <row r="66" spans="1:13" outlineLevel="1">
      <c r="A66" s="19" t="s">
        <v>126</v>
      </c>
      <c r="C66" s="33">
        <f t="shared" si="12"/>
        <v>66000</v>
      </c>
      <c r="D66" s="33"/>
      <c r="E66" s="33"/>
      <c r="F66" s="33" t="s">
        <v>104</v>
      </c>
      <c r="G66" s="33"/>
      <c r="H66" s="33">
        <f>SUMPRODUCT(E53:E56,C53:C56)</f>
        <v>2592</v>
      </c>
    </row>
    <row r="67" spans="1:13" outlineLevel="1">
      <c r="A67" s="19" t="s">
        <v>199</v>
      </c>
      <c r="C67" s="33">
        <f t="shared" si="12"/>
        <v>15000</v>
      </c>
      <c r="D67" s="33"/>
      <c r="E67" s="33"/>
      <c r="F67" s="33" t="s">
        <v>105</v>
      </c>
      <c r="G67" s="33"/>
      <c r="H67" s="33">
        <f ca="1">E57*C57</f>
        <v>347.75782038345096</v>
      </c>
    </row>
    <row r="68" spans="1:13" outlineLevel="1">
      <c r="A68" s="19" t="s">
        <v>135</v>
      </c>
      <c r="C68" s="33">
        <f ca="1">C57</f>
        <v>38639.757820383442</v>
      </c>
      <c r="D68" s="33"/>
      <c r="E68" s="33"/>
      <c r="F68" s="33" t="s">
        <v>63</v>
      </c>
      <c r="G68" s="33"/>
      <c r="H68" s="33">
        <f>D24+D22</f>
        <v>4700</v>
      </c>
    </row>
    <row r="69" spans="1:13" outlineLevel="1">
      <c r="A69" s="17" t="s">
        <v>64</v>
      </c>
      <c r="B69" s="17"/>
      <c r="C69" s="17">
        <f ca="1">SUM(C63:C68)</f>
        <v>244877.01198507883</v>
      </c>
      <c r="E69" s="19"/>
      <c r="F69" s="17" t="s">
        <v>106</v>
      </c>
      <c r="G69" s="17"/>
      <c r="H69" s="17">
        <f ca="1">SUM(H63:H68)</f>
        <v>244877.01198507883</v>
      </c>
    </row>
    <row r="70" spans="1:13" outlineLevel="1">
      <c r="F70" s="22"/>
      <c r="G70" s="22"/>
      <c r="H70" s="22"/>
      <c r="J70" s="19"/>
      <c r="K70" s="22"/>
      <c r="L70" s="22"/>
      <c r="M70" s="22"/>
    </row>
    <row r="71" spans="1:13" outlineLevel="1"/>
    <row r="72" spans="1:13" outlineLevel="1">
      <c r="A72" s="62" t="s">
        <v>65</v>
      </c>
      <c r="B72" s="62"/>
      <c r="C72" s="63"/>
      <c r="D72" s="62"/>
      <c r="E72" s="62"/>
      <c r="F72" s="62"/>
      <c r="G72" s="62"/>
      <c r="H72" s="62"/>
      <c r="I72" s="62"/>
      <c r="J72" s="62"/>
      <c r="K72" s="62"/>
      <c r="L72" s="62"/>
      <c r="M72" s="62"/>
    </row>
    <row r="73" spans="1:13" outlineLevel="1">
      <c r="A73" s="15" t="s">
        <v>66</v>
      </c>
      <c r="D73" s="59" t="s">
        <v>68</v>
      </c>
      <c r="E73" s="59" t="s">
        <v>69</v>
      </c>
      <c r="F73" s="59" t="s">
        <v>74</v>
      </c>
      <c r="I73" s="15" t="s">
        <v>75</v>
      </c>
    </row>
    <row r="74" spans="1:13" outlineLevel="1">
      <c r="A74" s="16" t="s">
        <v>15</v>
      </c>
      <c r="B74" s="16"/>
      <c r="C74" s="44"/>
      <c r="D74" s="16">
        <f>G133</f>
        <v>78237.254164695405</v>
      </c>
      <c r="E74" s="16">
        <f>D74</f>
        <v>78237.254164695405</v>
      </c>
      <c r="F74" s="16">
        <f>E74-D74</f>
        <v>0</v>
      </c>
      <c r="I74" s="16" t="s">
        <v>82</v>
      </c>
      <c r="J74" s="16"/>
      <c r="K74" s="16"/>
      <c r="L74" s="16"/>
      <c r="M74" s="16">
        <f>H63+H64</f>
        <v>211427.25416469539</v>
      </c>
    </row>
    <row r="75" spans="1:13" outlineLevel="1">
      <c r="A75" s="19" t="s">
        <v>16</v>
      </c>
      <c r="B75" s="19"/>
      <c r="C75" s="20"/>
      <c r="D75" s="21">
        <f>G134</f>
        <v>4010</v>
      </c>
      <c r="E75" s="124">
        <v>4500</v>
      </c>
      <c r="F75" s="16">
        <f t="shared" ref="F75:F78" si="13">E75-D75</f>
        <v>490</v>
      </c>
      <c r="I75" s="4" t="s">
        <v>76</v>
      </c>
      <c r="M75" s="47">
        <f>G139-G146</f>
        <v>80870.971164695409</v>
      </c>
    </row>
    <row r="76" spans="1:13" outlineLevel="1">
      <c r="A76" s="4" t="s">
        <v>17</v>
      </c>
      <c r="D76" s="21">
        <f>G135</f>
        <v>6267.7169999999996</v>
      </c>
      <c r="E76" s="32">
        <v>5800</v>
      </c>
      <c r="F76" s="16">
        <f t="shared" si="13"/>
        <v>-467.71699999999964</v>
      </c>
      <c r="I76" s="16" t="s">
        <v>77</v>
      </c>
      <c r="J76" s="16"/>
      <c r="K76" s="16"/>
      <c r="L76" s="16"/>
      <c r="M76" s="16">
        <f>M74-M75</f>
        <v>130556.28299999998</v>
      </c>
    </row>
    <row r="77" spans="1:13" outlineLevel="1">
      <c r="A77" s="4" t="s">
        <v>118</v>
      </c>
      <c r="D77" s="13">
        <f>G137</f>
        <v>21710</v>
      </c>
      <c r="E77" s="32">
        <v>29000</v>
      </c>
      <c r="F77" s="16">
        <f t="shared" si="13"/>
        <v>7290</v>
      </c>
      <c r="I77" s="4" t="s">
        <v>83</v>
      </c>
      <c r="M77" s="32">
        <v>0</v>
      </c>
    </row>
    <row r="78" spans="1:13" outlineLevel="1">
      <c r="A78" s="4" t="s">
        <v>67</v>
      </c>
      <c r="D78" s="13"/>
      <c r="F78" s="16">
        <f t="shared" si="13"/>
        <v>0</v>
      </c>
      <c r="I78" s="4" t="s">
        <v>78</v>
      </c>
      <c r="M78" s="4">
        <f>F79</f>
        <v>7312.2830000000004</v>
      </c>
    </row>
    <row r="79" spans="1:13" outlineLevel="1">
      <c r="A79" s="16" t="s">
        <v>150</v>
      </c>
      <c r="B79" s="16"/>
      <c r="C79" s="44"/>
      <c r="D79" s="16">
        <f>SUM(D74:D78)</f>
        <v>110224.97116469541</v>
      </c>
      <c r="E79" s="16">
        <f>SUM(E74:E78)</f>
        <v>117537.25416469541</v>
      </c>
      <c r="F79" s="16">
        <f>SUM(F74:F78)</f>
        <v>7312.2830000000004</v>
      </c>
      <c r="I79" s="16" t="s">
        <v>79</v>
      </c>
      <c r="J79" s="16"/>
      <c r="K79" s="16"/>
      <c r="L79" s="16"/>
      <c r="M79" s="16">
        <f>M76-M77-M78</f>
        <v>123243.99999999999</v>
      </c>
    </row>
    <row r="80" spans="1:13" outlineLevel="1">
      <c r="I80" s="17" t="s">
        <v>80</v>
      </c>
      <c r="J80" s="17"/>
      <c r="K80" s="17"/>
      <c r="L80" s="17"/>
      <c r="M80" s="17">
        <f>M79</f>
        <v>123243.99999999999</v>
      </c>
    </row>
    <row r="81" spans="1:14" outlineLevel="1">
      <c r="I81" s="22"/>
      <c r="J81" s="22"/>
      <c r="K81" s="22"/>
      <c r="L81" s="22"/>
      <c r="M81" s="22"/>
    </row>
    <row r="83" spans="1:14" ht="20">
      <c r="A83" s="10" t="s">
        <v>132</v>
      </c>
      <c r="B83" s="11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ht="17" outlineLevel="1">
      <c r="D84" s="111"/>
      <c r="E84" s="111"/>
      <c r="F84" s="111"/>
      <c r="G84" s="111" t="s">
        <v>157</v>
      </c>
      <c r="H84" s="112">
        <f>$D$11</f>
        <v>2018</v>
      </c>
      <c r="I84" s="112">
        <f>H84+1</f>
        <v>2019</v>
      </c>
      <c r="J84" s="112">
        <f t="shared" ref="J84:N84" si="14">I84+1</f>
        <v>2020</v>
      </c>
      <c r="K84" s="112">
        <f t="shared" si="14"/>
        <v>2021</v>
      </c>
      <c r="L84" s="112">
        <f t="shared" si="14"/>
        <v>2022</v>
      </c>
      <c r="M84" s="112">
        <f t="shared" si="14"/>
        <v>2023</v>
      </c>
      <c r="N84" s="112">
        <f t="shared" si="14"/>
        <v>2024</v>
      </c>
    </row>
    <row r="85" spans="1:14" outlineLevel="1">
      <c r="A85" s="16"/>
      <c r="B85" s="16"/>
      <c r="C85" s="44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</row>
    <row r="86" spans="1:14" outlineLevel="1">
      <c r="A86" s="19" t="s">
        <v>71</v>
      </c>
      <c r="B86" s="19"/>
      <c r="C86" s="20"/>
      <c r="D86" s="127"/>
      <c r="E86" s="127"/>
      <c r="F86" s="127"/>
      <c r="G86" s="19">
        <f>G224</f>
        <v>9000</v>
      </c>
      <c r="H86" s="19">
        <f t="shared" ref="H86:N86" ca="1" si="15">H224</f>
        <v>13134.591666318633</v>
      </c>
      <c r="I86" s="19">
        <f t="shared" ca="1" si="15"/>
        <v>15743.548299431535</v>
      </c>
      <c r="J86" s="19">
        <f t="shared" ca="1" si="15"/>
        <v>14685.386510875305</v>
      </c>
      <c r="K86" s="19">
        <f t="shared" ca="1" si="15"/>
        <v>11954.455920229426</v>
      </c>
      <c r="L86" s="19">
        <f t="shared" ca="1" si="15"/>
        <v>32129.642472234707</v>
      </c>
      <c r="M86" s="19">
        <f t="shared" ca="1" si="15"/>
        <v>44102.104621267827</v>
      </c>
      <c r="N86" s="19">
        <f t="shared" ca="1" si="15"/>
        <v>35651.085601733284</v>
      </c>
    </row>
    <row r="87" spans="1:14" outlineLevel="1">
      <c r="A87" s="19" t="s">
        <v>72</v>
      </c>
      <c r="B87" s="19"/>
      <c r="C87" s="20"/>
      <c r="D87" s="127"/>
      <c r="E87" s="127"/>
      <c r="F87" s="127"/>
      <c r="G87" s="19">
        <f>G256</f>
        <v>135000</v>
      </c>
      <c r="H87" s="19">
        <f t="shared" ref="H87:N87" ca="1" si="16">H256</f>
        <v>123000</v>
      </c>
      <c r="I87" s="19">
        <f t="shared" ca="1" si="16"/>
        <v>111000</v>
      </c>
      <c r="J87" s="19">
        <f t="shared" ca="1" si="16"/>
        <v>99000</v>
      </c>
      <c r="K87" s="19">
        <f t="shared" ca="1" si="16"/>
        <v>87000</v>
      </c>
      <c r="L87" s="19">
        <f t="shared" ca="1" si="16"/>
        <v>48000</v>
      </c>
      <c r="M87" s="19">
        <f t="shared" ca="1" si="16"/>
        <v>15000</v>
      </c>
      <c r="N87" s="19">
        <f t="shared" ca="1" si="16"/>
        <v>0</v>
      </c>
    </row>
    <row r="88" spans="1:14" outlineLevel="1">
      <c r="A88" s="16" t="s">
        <v>98</v>
      </c>
      <c r="B88" s="16"/>
      <c r="C88" s="44"/>
      <c r="D88" s="113"/>
      <c r="E88" s="113"/>
      <c r="F88" s="113"/>
      <c r="G88" s="16">
        <f>SUM(G86:G87)</f>
        <v>144000</v>
      </c>
      <c r="H88" s="16">
        <f t="shared" ref="H88:N88" ca="1" si="17">SUM(H86:H87)</f>
        <v>136134.59166631862</v>
      </c>
      <c r="I88" s="16">
        <f t="shared" ca="1" si="17"/>
        <v>126743.54829943154</v>
      </c>
      <c r="J88" s="16">
        <f t="shared" ca="1" si="17"/>
        <v>113685.38651087531</v>
      </c>
      <c r="K88" s="16">
        <f t="shared" ca="1" si="17"/>
        <v>98954.455920229433</v>
      </c>
      <c r="L88" s="16">
        <f t="shared" ca="1" si="17"/>
        <v>80129.6424722347</v>
      </c>
      <c r="M88" s="16">
        <f t="shared" ca="1" si="17"/>
        <v>59102.104621267827</v>
      </c>
      <c r="N88" s="16">
        <f t="shared" ca="1" si="17"/>
        <v>35651.085601733284</v>
      </c>
    </row>
    <row r="89" spans="1:14" outlineLevel="1">
      <c r="A89" s="19"/>
      <c r="B89" s="19"/>
      <c r="C89" s="20"/>
      <c r="D89" s="127"/>
      <c r="E89" s="127"/>
      <c r="F89" s="127"/>
      <c r="G89" s="19"/>
      <c r="H89" s="19"/>
      <c r="I89" s="19"/>
      <c r="J89" s="19"/>
      <c r="K89" s="19"/>
      <c r="L89" s="19"/>
      <c r="M89" s="19"/>
      <c r="N89" s="19"/>
    </row>
    <row r="90" spans="1:14" outlineLevel="1">
      <c r="A90" s="19" t="s">
        <v>15</v>
      </c>
      <c r="B90" s="19"/>
      <c r="C90" s="20"/>
      <c r="D90" s="127"/>
      <c r="E90" s="127"/>
      <c r="F90" s="127"/>
      <c r="G90" s="19">
        <f ca="1">L268</f>
        <v>16000.000000000007</v>
      </c>
      <c r="H90" s="19">
        <f ca="1">H133</f>
        <v>16000</v>
      </c>
      <c r="I90" s="19">
        <f t="shared" ref="I90:N90" ca="1" si="18">I133</f>
        <v>16000</v>
      </c>
      <c r="J90" s="19">
        <f t="shared" ca="1" si="18"/>
        <v>16000</v>
      </c>
      <c r="K90" s="19">
        <f t="shared" ca="1" si="18"/>
        <v>16000</v>
      </c>
      <c r="L90" s="19">
        <f t="shared" ca="1" si="18"/>
        <v>16000</v>
      </c>
      <c r="M90" s="19">
        <f t="shared" ca="1" si="18"/>
        <v>16000</v>
      </c>
      <c r="N90" s="19">
        <f t="shared" ca="1" si="18"/>
        <v>16000</v>
      </c>
    </row>
    <row r="91" spans="1:14" outlineLevel="1">
      <c r="A91" s="16" t="s">
        <v>158</v>
      </c>
      <c r="B91" s="16"/>
      <c r="C91" s="44"/>
      <c r="D91" s="113"/>
      <c r="E91" s="113"/>
      <c r="F91" s="113"/>
      <c r="G91" s="16">
        <f ca="1">G88-G90</f>
        <v>128000</v>
      </c>
      <c r="H91" s="16">
        <f t="shared" ref="H91:N91" ca="1" si="19">H88-H90</f>
        <v>120134.59166631862</v>
      </c>
      <c r="I91" s="16">
        <f t="shared" ca="1" si="19"/>
        <v>110743.54829943154</v>
      </c>
      <c r="J91" s="16">
        <f t="shared" ca="1" si="19"/>
        <v>97685.386510875309</v>
      </c>
      <c r="K91" s="16">
        <f t="shared" ca="1" si="19"/>
        <v>82954.455920229433</v>
      </c>
      <c r="L91" s="16">
        <f t="shared" ca="1" si="19"/>
        <v>64129.6424722347</v>
      </c>
      <c r="M91" s="16">
        <f t="shared" ca="1" si="19"/>
        <v>43102.104621267827</v>
      </c>
      <c r="N91" s="16">
        <f t="shared" ca="1" si="19"/>
        <v>19651.085601733284</v>
      </c>
    </row>
    <row r="92" spans="1:14" outlineLevel="1">
      <c r="A92" s="19"/>
      <c r="B92" s="19"/>
      <c r="C92" s="20"/>
      <c r="D92" s="127"/>
      <c r="E92" s="127"/>
      <c r="F92" s="127"/>
      <c r="G92" s="19"/>
      <c r="H92" s="19"/>
      <c r="I92" s="19"/>
      <c r="J92" s="19"/>
      <c r="K92" s="19"/>
      <c r="L92" s="19"/>
      <c r="M92" s="19"/>
      <c r="N92" s="19"/>
    </row>
    <row r="93" spans="1:14" outlineLevel="1">
      <c r="A93" s="19" t="s">
        <v>49</v>
      </c>
      <c r="B93" s="19"/>
      <c r="C93" s="20"/>
      <c r="D93" s="127"/>
      <c r="E93" s="127"/>
      <c r="F93" s="127"/>
      <c r="G93" s="19"/>
      <c r="H93" s="19">
        <f ca="1">H258</f>
        <v>9044.1823958289824</v>
      </c>
      <c r="I93" s="19">
        <f t="shared" ref="I93:N93" ca="1" si="20">I258</f>
        <v>8363.476749571877</v>
      </c>
      <c r="J93" s="19">
        <f t="shared" ca="1" si="20"/>
        <v>7617.8616851288352</v>
      </c>
      <c r="K93" s="19">
        <f t="shared" ca="1" si="20"/>
        <v>6805.4980303888096</v>
      </c>
      <c r="L93" s="19">
        <f t="shared" ca="1" si="20"/>
        <v>5583.5512299058018</v>
      </c>
      <c r="M93" s="19">
        <f t="shared" ca="1" si="20"/>
        <v>3690.3968386687816</v>
      </c>
      <c r="N93" s="19">
        <f t="shared" ca="1" si="20"/>
        <v>1746.9148777875139</v>
      </c>
    </row>
    <row r="94" spans="1:14" outlineLevel="1">
      <c r="A94" s="19" t="s">
        <v>208</v>
      </c>
      <c r="B94" s="19"/>
      <c r="C94" s="20"/>
      <c r="D94" s="127"/>
      <c r="E94" s="127"/>
      <c r="F94" s="127"/>
      <c r="G94" s="19"/>
      <c r="H94" s="19">
        <f ca="1">-H172</f>
        <v>12000</v>
      </c>
      <c r="I94" s="19">
        <f t="shared" ref="I94:N94" ca="1" si="21">-I172</f>
        <v>12000</v>
      </c>
      <c r="J94" s="19">
        <f t="shared" ca="1" si="21"/>
        <v>13058.16178855623</v>
      </c>
      <c r="K94" s="19">
        <f t="shared" ca="1" si="21"/>
        <v>14730.930590645876</v>
      </c>
      <c r="L94" s="19">
        <f t="shared" ca="1" si="21"/>
        <v>39000</v>
      </c>
      <c r="M94" s="19">
        <f t="shared" ca="1" si="21"/>
        <v>33000</v>
      </c>
      <c r="N94" s="19">
        <f t="shared" ca="1" si="21"/>
        <v>23451.019019534553</v>
      </c>
    </row>
    <row r="95" spans="1:14" outlineLevel="1">
      <c r="A95" s="16" t="s">
        <v>209</v>
      </c>
      <c r="B95" s="16"/>
      <c r="C95" s="44"/>
      <c r="D95" s="113"/>
      <c r="E95" s="113"/>
      <c r="F95" s="113"/>
      <c r="G95" s="16"/>
      <c r="H95" s="16">
        <f ca="1">SUM(H93:H94)</f>
        <v>21044.182395828982</v>
      </c>
      <c r="I95" s="16">
        <f t="shared" ref="I95:N95" ca="1" si="22">SUM(I93:I94)</f>
        <v>20363.476749571877</v>
      </c>
      <c r="J95" s="16">
        <f t="shared" ca="1" si="22"/>
        <v>20676.023473685065</v>
      </c>
      <c r="K95" s="16">
        <f t="shared" ca="1" si="22"/>
        <v>21536.428621034684</v>
      </c>
      <c r="L95" s="16">
        <f t="shared" ca="1" si="22"/>
        <v>44583.551229905803</v>
      </c>
      <c r="M95" s="16">
        <f t="shared" ca="1" si="22"/>
        <v>36690.396838668785</v>
      </c>
      <c r="N95" s="16">
        <f t="shared" ca="1" si="22"/>
        <v>25197.933897322066</v>
      </c>
    </row>
    <row r="96" spans="1:14" outlineLevel="1">
      <c r="A96" s="19"/>
      <c r="B96" s="19"/>
      <c r="C96" s="20"/>
      <c r="D96" s="127"/>
      <c r="E96" s="127"/>
      <c r="F96" s="127"/>
      <c r="G96" s="19"/>
      <c r="H96" s="19"/>
      <c r="I96" s="19"/>
      <c r="J96" s="19"/>
      <c r="K96" s="19"/>
      <c r="L96" s="19"/>
      <c r="M96" s="19"/>
      <c r="N96" s="19"/>
    </row>
    <row r="97" spans="1:14" outlineLevel="1">
      <c r="A97" s="19" t="s">
        <v>2</v>
      </c>
      <c r="B97" s="19"/>
      <c r="C97" s="20"/>
      <c r="D97" s="127"/>
      <c r="E97" s="127"/>
      <c r="F97" s="127"/>
      <c r="G97" s="19"/>
      <c r="H97" s="19">
        <f>H122</f>
        <v>26140.226896000007</v>
      </c>
      <c r="I97" s="19">
        <f t="shared" ref="I97:N97" si="23">I122</f>
        <v>26924.110504256005</v>
      </c>
      <c r="J97" s="19">
        <f t="shared" si="23"/>
        <v>30193.850284054668</v>
      </c>
      <c r="K97" s="19">
        <f t="shared" si="23"/>
        <v>31804.338259342392</v>
      </c>
      <c r="L97" s="19">
        <f t="shared" si="23"/>
        <v>35348.35218795573</v>
      </c>
      <c r="M97" s="19">
        <f t="shared" si="23"/>
        <v>36114.836293574197</v>
      </c>
      <c r="N97" s="19">
        <f t="shared" si="23"/>
        <v>37760.788956871089</v>
      </c>
    </row>
    <row r="98" spans="1:14" outlineLevel="1">
      <c r="A98" s="19" t="s">
        <v>1</v>
      </c>
      <c r="B98" s="19"/>
      <c r="C98" s="20"/>
      <c r="D98" s="127"/>
      <c r="E98" s="127"/>
      <c r="F98" s="127"/>
      <c r="G98" s="19"/>
      <c r="H98" s="19">
        <f>H119</f>
        <v>31215.226896000007</v>
      </c>
      <c r="I98" s="19">
        <f t="shared" ref="I98:N98" si="24">I119</f>
        <v>32641.375064256004</v>
      </c>
      <c r="J98" s="19">
        <f t="shared" si="24"/>
        <v>36496.077130214668</v>
      </c>
      <c r="K98" s="19">
        <f t="shared" si="24"/>
        <v>38580.533960886562</v>
      </c>
      <c r="L98" s="19">
        <f t="shared" si="24"/>
        <v>42572.339103116479</v>
      </c>
      <c r="M98" s="19">
        <f t="shared" si="24"/>
        <v>43696.543310828682</v>
      </c>
      <c r="N98" s="19">
        <f t="shared" si="24"/>
        <v>45586.418870018511</v>
      </c>
    </row>
    <row r="99" spans="1:14" outlineLevel="1">
      <c r="A99" s="19" t="s">
        <v>210</v>
      </c>
      <c r="B99" s="19"/>
      <c r="C99" s="20"/>
      <c r="D99" s="127"/>
      <c r="E99" s="127"/>
      <c r="F99" s="127"/>
      <c r="G99" s="19"/>
      <c r="H99" s="19">
        <f>H98+H166</f>
        <v>22470.143696000006</v>
      </c>
      <c r="I99" s="19">
        <f t="shared" ref="I99:N99" si="25">I98+I166</f>
        <v>23581.468869056</v>
      </c>
      <c r="J99" s="19">
        <f t="shared" si="25"/>
        <v>27485.456824716552</v>
      </c>
      <c r="K99" s="19">
        <f t="shared" si="25"/>
        <v>29245.531324390515</v>
      </c>
      <c r="L99" s="19">
        <f t="shared" si="25"/>
        <v>33304.237318848653</v>
      </c>
      <c r="M99" s="19">
        <f t="shared" si="25"/>
        <v>34720.991174186005</v>
      </c>
      <c r="N99" s="19">
        <f t="shared" si="25"/>
        <v>36287.746856456695</v>
      </c>
    </row>
    <row r="100" spans="1:14" outlineLevel="1">
      <c r="A100" s="19" t="s">
        <v>233</v>
      </c>
      <c r="B100" s="19"/>
      <c r="C100" s="20"/>
      <c r="D100" s="127"/>
      <c r="E100" s="127"/>
      <c r="F100" s="127"/>
      <c r="G100" s="19"/>
      <c r="H100" s="19">
        <f ca="1">H99-H125</f>
        <v>17341.3303459487</v>
      </c>
      <c r="I100" s="19">
        <f t="shared" ref="I100:N100" ca="1" si="26">I99-I125</f>
        <v>18013.27874265076</v>
      </c>
      <c r="J100" s="19">
        <f t="shared" ca="1" si="26"/>
        <v>20712.660245038802</v>
      </c>
      <c r="K100" s="19">
        <f t="shared" ca="1" si="26"/>
        <v>21745.87925570444</v>
      </c>
      <c r="L100" s="19">
        <f t="shared" ca="1" si="26"/>
        <v>24374.797031433674</v>
      </c>
      <c r="M100" s="19">
        <f t="shared" ca="1" si="26"/>
        <v>24993.65933771438</v>
      </c>
      <c r="N100" s="19">
        <f t="shared" ca="1" si="26"/>
        <v>25483.584632731625</v>
      </c>
    </row>
    <row r="101" spans="1:14" outlineLevel="1">
      <c r="A101" s="19"/>
      <c r="B101" s="19"/>
      <c r="C101" s="20"/>
      <c r="D101" s="127"/>
      <c r="E101" s="127"/>
      <c r="F101" s="127"/>
      <c r="G101" s="19"/>
      <c r="H101" s="19"/>
      <c r="I101" s="19"/>
      <c r="J101" s="19"/>
      <c r="K101" s="19"/>
      <c r="L101" s="19"/>
      <c r="M101" s="19"/>
      <c r="N101" s="19"/>
    </row>
    <row r="102" spans="1:14" outlineLevel="1">
      <c r="A102" s="4" t="s">
        <v>155</v>
      </c>
      <c r="B102" s="15"/>
      <c r="C102" s="26"/>
      <c r="D102" s="27"/>
      <c r="E102" s="27"/>
      <c r="F102" s="27"/>
      <c r="G102" s="19"/>
      <c r="H102" s="128">
        <f ca="1">H88/H98</f>
        <v>4.3611597673109728</v>
      </c>
      <c r="I102" s="128">
        <f t="shared" ref="I102:N102" ca="1" si="27">I88/I98</f>
        <v>3.8829108164080468</v>
      </c>
      <c r="J102" s="128">
        <f t="shared" ca="1" si="27"/>
        <v>3.1150029112788271</v>
      </c>
      <c r="K102" s="128">
        <f t="shared" ca="1" si="27"/>
        <v>2.5648804140593473</v>
      </c>
      <c r="L102" s="128">
        <f t="shared" ca="1" si="27"/>
        <v>1.8821996667401548</v>
      </c>
      <c r="M102" s="128">
        <f t="shared" ca="1" si="27"/>
        <v>1.3525578945880008</v>
      </c>
      <c r="N102" s="128">
        <f t="shared" ca="1" si="27"/>
        <v>0.78205497350835906</v>
      </c>
    </row>
    <row r="103" spans="1:14" outlineLevel="1">
      <c r="A103" s="4" t="s">
        <v>156</v>
      </c>
      <c r="D103" s="9"/>
      <c r="E103" s="9"/>
      <c r="F103" s="9"/>
      <c r="G103" s="19"/>
      <c r="H103" s="128">
        <f ca="1">H91/H98</f>
        <v>3.8485894101161557</v>
      </c>
      <c r="I103" s="128">
        <f t="shared" ref="I103:N103" ca="1" si="28">I91/I98</f>
        <v>3.3927353881822664</v>
      </c>
      <c r="J103" s="128">
        <f t="shared" ca="1" si="28"/>
        <v>2.676599629114734</v>
      </c>
      <c r="K103" s="128">
        <f t="shared" ca="1" si="28"/>
        <v>2.1501634996635794</v>
      </c>
      <c r="L103" s="128">
        <f t="shared" ca="1" si="28"/>
        <v>1.5063687789600486</v>
      </c>
      <c r="M103" s="128">
        <f t="shared" ca="1" si="28"/>
        <v>0.98639620792582139</v>
      </c>
      <c r="N103" s="128">
        <f t="shared" ca="1" si="28"/>
        <v>0.43107324700729022</v>
      </c>
    </row>
    <row r="104" spans="1:14" outlineLevel="1">
      <c r="A104" s="33" t="s">
        <v>159</v>
      </c>
      <c r="B104" s="28"/>
      <c r="C104" s="126"/>
      <c r="D104" s="28"/>
      <c r="E104" s="28"/>
      <c r="F104" s="28"/>
      <c r="G104" s="28"/>
      <c r="H104" s="128">
        <f ca="1">H97/H93</f>
        <v>2.8902808183142592</v>
      </c>
      <c r="I104" s="128">
        <f t="shared" ref="I104:N104" ca="1" si="29">I97/I93</f>
        <v>3.2192485625830476</v>
      </c>
      <c r="J104" s="128">
        <f t="shared" ca="1" si="29"/>
        <v>3.9635597930318713</v>
      </c>
      <c r="K104" s="128">
        <f t="shared" ca="1" si="29"/>
        <v>4.6733300218919256</v>
      </c>
      <c r="L104" s="128">
        <f t="shared" ca="1" si="29"/>
        <v>6.3308010856295267</v>
      </c>
      <c r="M104" s="128">
        <f t="shared" ca="1" si="29"/>
        <v>9.7861660608298493</v>
      </c>
      <c r="N104" s="128">
        <f t="shared" ca="1" si="29"/>
        <v>21.615700591373706</v>
      </c>
    </row>
    <row r="105" spans="1:14" outlineLevel="1">
      <c r="A105" s="33" t="s">
        <v>232</v>
      </c>
      <c r="B105" s="28"/>
      <c r="C105" s="126"/>
      <c r="D105" s="28"/>
      <c r="E105" s="28"/>
      <c r="F105" s="28"/>
      <c r="G105" s="28"/>
      <c r="H105" s="128">
        <f ca="1">H98/H95</f>
        <v>1.4833185870023136</v>
      </c>
      <c r="I105" s="128">
        <f t="shared" ref="I105:N105" ca="1" si="30">I98/I95</f>
        <v>1.6029372324616551</v>
      </c>
      <c r="J105" s="128">
        <f t="shared" ca="1" si="30"/>
        <v>1.7651400510675668</v>
      </c>
      <c r="K105" s="128">
        <f t="shared" ca="1" si="30"/>
        <v>1.7914081596242404</v>
      </c>
      <c r="L105" s="128">
        <f t="shared" ca="1" si="30"/>
        <v>0.95488892043574491</v>
      </c>
      <c r="M105" s="128">
        <f t="shared" ca="1" si="30"/>
        <v>1.1909531396721218</v>
      </c>
      <c r="N105" s="128">
        <f t="shared" ca="1" si="30"/>
        <v>1.8091332033720133</v>
      </c>
    </row>
    <row r="106" spans="1:14" outlineLevel="1">
      <c r="A106" s="33" t="s">
        <v>231</v>
      </c>
      <c r="B106" s="28"/>
      <c r="C106" s="126"/>
      <c r="D106" s="28"/>
      <c r="E106" s="28"/>
      <c r="F106" s="28"/>
      <c r="G106" s="28"/>
      <c r="H106" s="128">
        <f ca="1">H99/H95</f>
        <v>1.0677603564419615</v>
      </c>
      <c r="I106" s="128">
        <f t="shared" ref="I106:N106" ca="1" si="31">I99/I95</f>
        <v>1.158027637375419</v>
      </c>
      <c r="J106" s="128">
        <f t="shared" ca="1" si="31"/>
        <v>1.3293396024481223</v>
      </c>
      <c r="K106" s="128">
        <f t="shared" ca="1" si="31"/>
        <v>1.3579564113906208</v>
      </c>
      <c r="L106" s="128">
        <f t="shared" ca="1" si="31"/>
        <v>0.74700727959303526</v>
      </c>
      <c r="M106" s="128">
        <f t="shared" ca="1" si="31"/>
        <v>0.94632367501658687</v>
      </c>
      <c r="N106" s="128">
        <f t="shared" ca="1" si="31"/>
        <v>1.4401080264883626</v>
      </c>
    </row>
    <row r="107" spans="1:14" outlineLevel="1">
      <c r="A107" s="33" t="s">
        <v>234</v>
      </c>
      <c r="B107" s="28"/>
      <c r="C107" s="126"/>
      <c r="D107" s="28"/>
      <c r="E107" s="28"/>
      <c r="F107" s="28"/>
      <c r="G107" s="28"/>
      <c r="H107" s="128">
        <f ca="1">H100/H95</f>
        <v>0.82404391008252242</v>
      </c>
      <c r="I107" s="128">
        <f t="shared" ref="I107:N107" ca="1" si="32">I100/I95</f>
        <v>0.88458758610704691</v>
      </c>
      <c r="J107" s="128">
        <f t="shared" ca="1" si="32"/>
        <v>1.0017719447552556</v>
      </c>
      <c r="K107" s="128">
        <f t="shared" ca="1" si="32"/>
        <v>1.0097254116899022</v>
      </c>
      <c r="L107" s="128">
        <f t="shared" ca="1" si="32"/>
        <v>0.54672174734890844</v>
      </c>
      <c r="M107" s="128">
        <f t="shared" ca="1" si="32"/>
        <v>0.68120438837480857</v>
      </c>
      <c r="N107" s="128">
        <f t="shared" ca="1" si="32"/>
        <v>1.0113362760841245</v>
      </c>
    </row>
    <row r="108" spans="1:14" outlineLevel="1">
      <c r="A108" s="33"/>
      <c r="B108" s="28"/>
      <c r="C108" s="126"/>
      <c r="D108" s="28"/>
      <c r="E108" s="28"/>
      <c r="F108" s="28"/>
      <c r="G108" s="28"/>
      <c r="H108" s="128"/>
      <c r="I108" s="128"/>
      <c r="J108" s="128"/>
      <c r="K108" s="128"/>
      <c r="L108" s="128"/>
      <c r="M108" s="128"/>
      <c r="N108" s="128"/>
    </row>
    <row r="109" spans="1:14">
      <c r="A109" s="33"/>
      <c r="B109" s="33"/>
      <c r="C109" s="109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</row>
    <row r="110" spans="1:14" ht="20">
      <c r="A110" s="10" t="s">
        <v>7</v>
      </c>
      <c r="B110" s="11"/>
      <c r="C110" s="12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ht="17" outlineLevel="1">
      <c r="D111" s="111">
        <f t="shared" ref="D111:F111" si="33">E111-1</f>
        <v>2014</v>
      </c>
      <c r="E111" s="111">
        <f t="shared" si="33"/>
        <v>2015</v>
      </c>
      <c r="F111" s="111">
        <f t="shared" si="33"/>
        <v>2016</v>
      </c>
      <c r="G111" s="111">
        <f>H111-1</f>
        <v>2017</v>
      </c>
      <c r="H111" s="112">
        <f>$D$11</f>
        <v>2018</v>
      </c>
      <c r="I111" s="112">
        <f>H111+1</f>
        <v>2019</v>
      </c>
      <c r="J111" s="112">
        <f t="shared" ref="J111:N111" si="34">I111+1</f>
        <v>2020</v>
      </c>
      <c r="K111" s="112">
        <f t="shared" si="34"/>
        <v>2021</v>
      </c>
      <c r="L111" s="112">
        <f t="shared" si="34"/>
        <v>2022</v>
      </c>
      <c r="M111" s="112">
        <f t="shared" si="34"/>
        <v>2023</v>
      </c>
      <c r="N111" s="112">
        <f t="shared" si="34"/>
        <v>2024</v>
      </c>
    </row>
    <row r="112" spans="1:14" outlineLevel="1">
      <c r="A112" s="16"/>
      <c r="B112" s="16"/>
      <c r="C112" s="44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</row>
    <row r="113" spans="1:14" outlineLevel="1">
      <c r="A113" s="15" t="s">
        <v>4</v>
      </c>
      <c r="B113" s="15"/>
      <c r="C113" s="26"/>
      <c r="D113" s="27">
        <v>76814</v>
      </c>
      <c r="E113" s="27">
        <v>78915</v>
      </c>
      <c r="F113" s="27">
        <v>80138</v>
      </c>
      <c r="G113" s="27">
        <v>84412</v>
      </c>
      <c r="H113" s="48">
        <f>G113*(1+H39)</f>
        <v>87450.832000000009</v>
      </c>
      <c r="I113" s="48">
        <f t="shared" ref="I113:N113" si="35">H113*(1+I39)</f>
        <v>90599.061952000018</v>
      </c>
      <c r="J113" s="48">
        <f t="shared" si="35"/>
        <v>93860.628182272019</v>
      </c>
      <c r="K113" s="48">
        <f t="shared" si="35"/>
        <v>97239.610796833818</v>
      </c>
      <c r="L113" s="48">
        <f t="shared" si="35"/>
        <v>100740.23678551984</v>
      </c>
      <c r="M113" s="48">
        <f t="shared" si="35"/>
        <v>104366.88530979856</v>
      </c>
      <c r="N113" s="48">
        <f t="shared" si="35"/>
        <v>108124.09318095131</v>
      </c>
    </row>
    <row r="114" spans="1:14" outlineLevel="1">
      <c r="A114" s="19" t="s">
        <v>8</v>
      </c>
      <c r="B114" s="19"/>
      <c r="C114" s="20"/>
      <c r="D114" s="29">
        <v>30726</v>
      </c>
      <c r="E114" s="29">
        <v>32510</v>
      </c>
      <c r="F114" s="29">
        <v>33849</v>
      </c>
      <c r="G114" s="29">
        <v>35416</v>
      </c>
      <c r="H114" s="45">
        <f>H113*H40</f>
        <v>34980.332800000004</v>
      </c>
      <c r="I114" s="45">
        <f t="shared" ref="I114:N114" si="36">I113*I40</f>
        <v>36239.624780800012</v>
      </c>
      <c r="J114" s="45">
        <f t="shared" si="36"/>
        <v>35667.038709263368</v>
      </c>
      <c r="K114" s="45">
        <f t="shared" si="36"/>
        <v>36464.854048812682</v>
      </c>
      <c r="L114" s="45">
        <f t="shared" si="36"/>
        <v>35259.082874931941</v>
      </c>
      <c r="M114" s="45">
        <f t="shared" si="36"/>
        <v>36528.409858429492</v>
      </c>
      <c r="N114" s="45">
        <f t="shared" si="36"/>
        <v>37843.43261333296</v>
      </c>
    </row>
    <row r="115" spans="1:14" outlineLevel="1">
      <c r="A115" s="17" t="s">
        <v>9</v>
      </c>
      <c r="B115" s="17"/>
      <c r="C115" s="18"/>
      <c r="D115" s="30">
        <v>46088</v>
      </c>
      <c r="E115" s="30">
        <v>46405</v>
      </c>
      <c r="F115" s="30">
        <v>46289</v>
      </c>
      <c r="G115" s="30">
        <v>48996</v>
      </c>
      <c r="H115" s="30">
        <f t="shared" ref="H115:N115" si="37">H113-H114</f>
        <v>52470.499200000006</v>
      </c>
      <c r="I115" s="30">
        <f t="shared" si="37"/>
        <v>54359.437171200007</v>
      </c>
      <c r="J115" s="30">
        <f t="shared" si="37"/>
        <v>58193.589473008651</v>
      </c>
      <c r="K115" s="30">
        <f t="shared" si="37"/>
        <v>60774.756748021136</v>
      </c>
      <c r="L115" s="30">
        <f t="shared" si="37"/>
        <v>65481.153910587898</v>
      </c>
      <c r="M115" s="30">
        <f t="shared" si="37"/>
        <v>67838.475451369071</v>
      </c>
      <c r="N115" s="30">
        <f t="shared" si="37"/>
        <v>70280.660567618354</v>
      </c>
    </row>
    <row r="116" spans="1:14" outlineLevel="1">
      <c r="A116" s="22"/>
      <c r="B116" s="22"/>
      <c r="C116" s="23"/>
      <c r="D116" s="31"/>
      <c r="E116" s="31"/>
      <c r="F116" s="31"/>
      <c r="G116" s="31"/>
      <c r="H116" s="114"/>
      <c r="I116" s="114"/>
      <c r="J116" s="114"/>
      <c r="K116" s="114"/>
      <c r="L116" s="114"/>
      <c r="M116" s="114"/>
      <c r="N116" s="114"/>
    </row>
    <row r="117" spans="1:14" outlineLevel="1">
      <c r="A117" s="19" t="s">
        <v>91</v>
      </c>
      <c r="D117" s="32">
        <v>11138</v>
      </c>
      <c r="E117" s="32">
        <v>11577</v>
      </c>
      <c r="F117" s="32">
        <v>12229</v>
      </c>
      <c r="G117" s="32">
        <v>13688</v>
      </c>
      <c r="H117" s="47">
        <f>H113*H41</f>
        <v>12855.272304</v>
      </c>
      <c r="I117" s="47">
        <f t="shared" ref="I117:N117" si="38">I113*I41</f>
        <v>13318.062106944002</v>
      </c>
      <c r="J117" s="47">
        <f t="shared" si="38"/>
        <v>13797.512342793985</v>
      </c>
      <c r="K117" s="47">
        <f t="shared" si="38"/>
        <v>14294.222787134571</v>
      </c>
      <c r="L117" s="47">
        <f t="shared" si="38"/>
        <v>14808.814807471415</v>
      </c>
      <c r="M117" s="47">
        <f t="shared" si="38"/>
        <v>15341.932140540386</v>
      </c>
      <c r="N117" s="47">
        <f t="shared" si="38"/>
        <v>15894.241697599842</v>
      </c>
    </row>
    <row r="118" spans="1:14" outlineLevel="1">
      <c r="A118" s="4" t="s">
        <v>90</v>
      </c>
      <c r="D118" s="32">
        <v>7588</v>
      </c>
      <c r="E118" s="32">
        <v>7960</v>
      </c>
      <c r="F118" s="32">
        <v>8007</v>
      </c>
      <c r="G118" s="32">
        <v>8536</v>
      </c>
      <c r="H118" s="47">
        <f>H42</f>
        <v>8400</v>
      </c>
      <c r="I118" s="47">
        <f t="shared" ref="I118:N118" si="39">I42</f>
        <v>8400</v>
      </c>
      <c r="J118" s="47">
        <f t="shared" si="39"/>
        <v>7900</v>
      </c>
      <c r="K118" s="47">
        <f t="shared" si="39"/>
        <v>7900</v>
      </c>
      <c r="L118" s="47">
        <f t="shared" si="39"/>
        <v>8100</v>
      </c>
      <c r="M118" s="47">
        <f t="shared" si="39"/>
        <v>8800</v>
      </c>
      <c r="N118" s="47">
        <f t="shared" si="39"/>
        <v>8800</v>
      </c>
    </row>
    <row r="119" spans="1:14" outlineLevel="1">
      <c r="A119" s="17" t="s">
        <v>1</v>
      </c>
      <c r="B119" s="16"/>
      <c r="C119" s="44"/>
      <c r="D119" s="30">
        <v>27362</v>
      </c>
      <c r="E119" s="30">
        <v>26868</v>
      </c>
      <c r="F119" s="30">
        <v>26053</v>
      </c>
      <c r="G119" s="30">
        <v>26772</v>
      </c>
      <c r="H119" s="30">
        <f t="shared" ref="H119:K119" si="40">H115-SUM(H117:H118)</f>
        <v>31215.226896000007</v>
      </c>
      <c r="I119" s="30">
        <f t="shared" ref="I119:N119" si="41">I115-SUM(I117:I118)</f>
        <v>32641.375064256004</v>
      </c>
      <c r="J119" s="30">
        <f t="shared" si="41"/>
        <v>36496.077130214668</v>
      </c>
      <c r="K119" s="30">
        <f t="shared" si="41"/>
        <v>38580.533960886562</v>
      </c>
      <c r="L119" s="30">
        <f t="shared" si="41"/>
        <v>42572.339103116479</v>
      </c>
      <c r="M119" s="30">
        <f t="shared" si="41"/>
        <v>43696.543310828682</v>
      </c>
      <c r="N119" s="30">
        <f t="shared" si="41"/>
        <v>45586.418870018511</v>
      </c>
    </row>
    <row r="120" spans="1:14" outlineLevel="1">
      <c r="A120" s="22"/>
      <c r="B120" s="19"/>
      <c r="C120" s="20"/>
      <c r="D120" s="29"/>
      <c r="E120" s="29"/>
      <c r="F120" s="29"/>
      <c r="G120" s="29"/>
      <c r="H120" s="45"/>
      <c r="I120" s="45"/>
      <c r="J120" s="45"/>
      <c r="K120" s="45"/>
      <c r="L120" s="45"/>
      <c r="M120" s="45"/>
      <c r="N120" s="45"/>
    </row>
    <row r="121" spans="1:14" outlineLevel="1">
      <c r="A121" s="4" t="s">
        <v>10</v>
      </c>
      <c r="D121" s="32">
        <v>11558</v>
      </c>
      <c r="E121" s="32">
        <v>10689</v>
      </c>
      <c r="F121" s="32">
        <v>9577</v>
      </c>
      <c r="G121" s="32">
        <v>9577</v>
      </c>
      <c r="H121" s="47">
        <f>H197</f>
        <v>5075</v>
      </c>
      <c r="I121" s="47">
        <f t="shared" ref="I121:N121" si="42">I197</f>
        <v>5717.2645599999996</v>
      </c>
      <c r="J121" s="47">
        <f t="shared" si="42"/>
        <v>6302.2268461599997</v>
      </c>
      <c r="K121" s="47">
        <f t="shared" si="42"/>
        <v>6776.1957015441694</v>
      </c>
      <c r="L121" s="47">
        <f t="shared" si="42"/>
        <v>7223.9869151607481</v>
      </c>
      <c r="M121" s="47">
        <f t="shared" si="42"/>
        <v>7581.7070172544863</v>
      </c>
      <c r="N121" s="47">
        <f t="shared" si="42"/>
        <v>7825.6299131474207</v>
      </c>
    </row>
    <row r="122" spans="1:14" outlineLevel="1">
      <c r="A122" s="17" t="s">
        <v>2</v>
      </c>
      <c r="B122" s="16"/>
      <c r="C122" s="44"/>
      <c r="D122" s="30">
        <v>15804</v>
      </c>
      <c r="E122" s="30">
        <v>16179</v>
      </c>
      <c r="F122" s="30">
        <v>16476</v>
      </c>
      <c r="G122" s="30">
        <v>17195</v>
      </c>
      <c r="H122" s="30">
        <f t="shared" ref="H122:N122" si="43">H119-H121</f>
        <v>26140.226896000007</v>
      </c>
      <c r="I122" s="30">
        <f t="shared" si="43"/>
        <v>26924.110504256005</v>
      </c>
      <c r="J122" s="30">
        <f t="shared" si="43"/>
        <v>30193.850284054668</v>
      </c>
      <c r="K122" s="30">
        <f t="shared" si="43"/>
        <v>31804.338259342392</v>
      </c>
      <c r="L122" s="30">
        <f t="shared" si="43"/>
        <v>35348.35218795573</v>
      </c>
      <c r="M122" s="30">
        <f t="shared" si="43"/>
        <v>36114.836293574197</v>
      </c>
      <c r="N122" s="30">
        <f t="shared" si="43"/>
        <v>37760.788956871089</v>
      </c>
    </row>
    <row r="123" spans="1:14" outlineLevel="1">
      <c r="A123" s="22"/>
      <c r="B123" s="19"/>
      <c r="C123" s="20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</row>
    <row r="124" spans="1:14" outlineLevel="1">
      <c r="A124" s="19" t="s">
        <v>11</v>
      </c>
      <c r="B124" s="19"/>
      <c r="C124" s="20"/>
      <c r="D124" s="29">
        <v>2000</v>
      </c>
      <c r="E124" s="29">
        <v>2000</v>
      </c>
      <c r="F124" s="29">
        <v>1250</v>
      </c>
      <c r="G124" s="29">
        <v>1250</v>
      </c>
      <c r="H124" s="45">
        <f ca="1">H258</f>
        <v>9044.1823958289824</v>
      </c>
      <c r="I124" s="45">
        <f t="shared" ref="I124:N124" ca="1" si="44">I258</f>
        <v>8363.476749571877</v>
      </c>
      <c r="J124" s="45">
        <f t="shared" ca="1" si="44"/>
        <v>7617.8616851288352</v>
      </c>
      <c r="K124" s="45">
        <f t="shared" ca="1" si="44"/>
        <v>6805.4980303888096</v>
      </c>
      <c r="L124" s="45">
        <f t="shared" ca="1" si="44"/>
        <v>5583.5512299058018</v>
      </c>
      <c r="M124" s="45">
        <f t="shared" ca="1" si="44"/>
        <v>3690.3968386687816</v>
      </c>
      <c r="N124" s="45">
        <f t="shared" ca="1" si="44"/>
        <v>1746.9148777875139</v>
      </c>
    </row>
    <row r="125" spans="1:14" outlineLevel="1">
      <c r="A125" s="19" t="s">
        <v>235</v>
      </c>
      <c r="B125" s="19"/>
      <c r="C125" s="20"/>
      <c r="D125" s="32">
        <v>2880</v>
      </c>
      <c r="E125" s="32">
        <v>3080</v>
      </c>
      <c r="F125" s="32">
        <v>3370</v>
      </c>
      <c r="G125" s="32">
        <v>3455</v>
      </c>
      <c r="H125" s="47">
        <f ca="1">(H122-H124)*$D$26</f>
        <v>5128.8133500513077</v>
      </c>
      <c r="I125" s="47">
        <f t="shared" ref="I125:N125" ca="1" si="45">(I122-I124)*$D$26</f>
        <v>5568.1901264052385</v>
      </c>
      <c r="J125" s="47">
        <f t="shared" ca="1" si="45"/>
        <v>6772.7965796777498</v>
      </c>
      <c r="K125" s="47">
        <f t="shared" ca="1" si="45"/>
        <v>7499.652068686074</v>
      </c>
      <c r="L125" s="47">
        <f t="shared" ca="1" si="45"/>
        <v>8929.4402874149782</v>
      </c>
      <c r="M125" s="47">
        <f t="shared" ca="1" si="45"/>
        <v>9727.3318364716251</v>
      </c>
      <c r="N125" s="47">
        <f t="shared" ca="1" si="45"/>
        <v>10804.162223725072</v>
      </c>
    </row>
    <row r="126" spans="1:14" ht="17" outlineLevel="1" thickBot="1">
      <c r="A126" s="34" t="s">
        <v>12</v>
      </c>
      <c r="B126" s="34"/>
      <c r="C126" s="35"/>
      <c r="D126" s="36">
        <v>10924</v>
      </c>
      <c r="E126" s="36">
        <v>11099</v>
      </c>
      <c r="F126" s="36">
        <v>11856</v>
      </c>
      <c r="G126" s="36">
        <v>12490</v>
      </c>
      <c r="H126" s="36">
        <f t="shared" ref="H126:N126" ca="1" si="46">H122-SUM(H124:H125)</f>
        <v>11967.231150119718</v>
      </c>
      <c r="I126" s="36">
        <f t="shared" ca="1" si="46"/>
        <v>12992.443628278888</v>
      </c>
      <c r="J126" s="36">
        <f t="shared" ca="1" si="46"/>
        <v>15803.192019248083</v>
      </c>
      <c r="K126" s="36">
        <f t="shared" ca="1" si="46"/>
        <v>17499.188160267509</v>
      </c>
      <c r="L126" s="36">
        <f t="shared" ca="1" si="46"/>
        <v>20835.360670634949</v>
      </c>
      <c r="M126" s="36">
        <f t="shared" ca="1" si="46"/>
        <v>22697.107618433791</v>
      </c>
      <c r="N126" s="36">
        <f t="shared" ca="1" si="46"/>
        <v>25209.711855358502</v>
      </c>
    </row>
    <row r="127" spans="1:14" ht="17" outlineLevel="1" collapsed="1" thickTop="1">
      <c r="D127" s="32"/>
      <c r="E127" s="32"/>
      <c r="F127" s="32"/>
      <c r="G127" s="32"/>
      <c r="H127" s="47"/>
      <c r="I127" s="47"/>
      <c r="J127" s="47"/>
      <c r="K127" s="47"/>
      <c r="L127" s="47"/>
      <c r="M127" s="47"/>
    </row>
    <row r="129" spans="1:14" ht="20">
      <c r="A129" s="10" t="s">
        <v>13</v>
      </c>
      <c r="B129" s="11"/>
      <c r="C129" s="12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ht="17" outlineLevel="1">
      <c r="D130" s="111">
        <f t="shared" ref="D130:F130" si="47">E130-1</f>
        <v>2014</v>
      </c>
      <c r="E130" s="111">
        <f t="shared" si="47"/>
        <v>2015</v>
      </c>
      <c r="F130" s="111">
        <f t="shared" si="47"/>
        <v>2016</v>
      </c>
      <c r="G130" s="111">
        <f>H130-1</f>
        <v>2017</v>
      </c>
      <c r="H130" s="112">
        <f>$D$11</f>
        <v>2018</v>
      </c>
      <c r="I130" s="112">
        <f>H130+1</f>
        <v>2019</v>
      </c>
      <c r="J130" s="112">
        <f t="shared" ref="J130:N130" si="48">I130+1</f>
        <v>2020</v>
      </c>
      <c r="K130" s="112">
        <f t="shared" si="48"/>
        <v>2021</v>
      </c>
      <c r="L130" s="112">
        <f t="shared" si="48"/>
        <v>2022</v>
      </c>
      <c r="M130" s="112">
        <f t="shared" si="48"/>
        <v>2023</v>
      </c>
      <c r="N130" s="112">
        <f t="shared" si="48"/>
        <v>2024</v>
      </c>
    </row>
    <row r="131" spans="1:14" outlineLevel="1">
      <c r="A131" s="16"/>
      <c r="B131" s="16"/>
      <c r="C131" s="44"/>
      <c r="D131" s="49"/>
      <c r="E131" s="49"/>
      <c r="F131" s="49"/>
      <c r="G131" s="49"/>
      <c r="H131" s="49"/>
      <c r="I131" s="16"/>
      <c r="J131" s="16"/>
      <c r="K131" s="16"/>
      <c r="L131" s="16"/>
      <c r="M131" s="16"/>
      <c r="N131" s="16"/>
    </row>
    <row r="132" spans="1:14" outlineLevel="1">
      <c r="A132" s="15" t="s">
        <v>14</v>
      </c>
      <c r="D132" s="32"/>
      <c r="E132" s="32"/>
      <c r="F132" s="32"/>
      <c r="G132" s="32"/>
      <c r="H132" s="32"/>
    </row>
    <row r="133" spans="1:14" outlineLevel="1">
      <c r="A133" s="4" t="s">
        <v>15</v>
      </c>
      <c r="C133" s="37"/>
      <c r="D133" s="47">
        <v>47991.971010573499</v>
      </c>
      <c r="E133" s="47">
        <v>60531.971010573499</v>
      </c>
      <c r="F133" s="47">
        <v>63121.971164695402</v>
      </c>
      <c r="G133" s="47">
        <v>78237.254164695405</v>
      </c>
      <c r="H133" s="47">
        <f ca="1">H180</f>
        <v>16000</v>
      </c>
      <c r="I133" s="47">
        <f ca="1">I180</f>
        <v>16000</v>
      </c>
      <c r="J133" s="47">
        <f t="shared" ref="J133:N133" ca="1" si="49">J180</f>
        <v>16000</v>
      </c>
      <c r="K133" s="47">
        <f t="shared" ca="1" si="49"/>
        <v>16000</v>
      </c>
      <c r="L133" s="47">
        <f t="shared" ca="1" si="49"/>
        <v>16000</v>
      </c>
      <c r="M133" s="47">
        <f t="shared" ca="1" si="49"/>
        <v>16000</v>
      </c>
      <c r="N133" s="47">
        <f t="shared" ca="1" si="49"/>
        <v>16000</v>
      </c>
    </row>
    <row r="134" spans="1:14" outlineLevel="1">
      <c r="A134" s="4" t="s">
        <v>16</v>
      </c>
      <c r="C134" s="37"/>
      <c r="D134" s="32">
        <v>3546</v>
      </c>
      <c r="E134" s="32">
        <v>3589</v>
      </c>
      <c r="F134" s="32">
        <v>3989</v>
      </c>
      <c r="G134" s="32">
        <v>4010</v>
      </c>
      <c r="H134" s="174">
        <f>H113*H43/$D$16</f>
        <v>2875.0958465753429</v>
      </c>
      <c r="I134" s="174">
        <f>I113*I43/$D$16</f>
        <v>2978.5992970520556</v>
      </c>
      <c r="J134" s="174">
        <f t="shared" ref="J134:N134" si="50">J113*J43/$D$16</f>
        <v>3085.8288717459295</v>
      </c>
      <c r="K134" s="174">
        <f t="shared" si="50"/>
        <v>3196.9187111287829</v>
      </c>
      <c r="L134" s="174">
        <f t="shared" si="50"/>
        <v>3312.0077847294192</v>
      </c>
      <c r="M134" s="174">
        <f t="shared" si="50"/>
        <v>3431.2400649796787</v>
      </c>
      <c r="N134" s="174">
        <f t="shared" si="50"/>
        <v>3554.7647073189473</v>
      </c>
    </row>
    <row r="135" spans="1:14" outlineLevel="1">
      <c r="A135" s="4" t="s">
        <v>17</v>
      </c>
      <c r="C135" s="37"/>
      <c r="D135" s="32">
        <v>4507</v>
      </c>
      <c r="E135" s="32">
        <v>5050</v>
      </c>
      <c r="F135" s="32">
        <v>6513</v>
      </c>
      <c r="G135" s="32">
        <v>6267.7169999999996</v>
      </c>
      <c r="H135" s="174">
        <f>H114*H45/$D$16</f>
        <v>7187.7396164383572</v>
      </c>
      <c r="I135" s="174">
        <f>I114*I45/$D$16</f>
        <v>7446.4982426301394</v>
      </c>
      <c r="J135" s="174">
        <f t="shared" ref="J135:N135" si="51">J114*J45/$D$16</f>
        <v>7328.8435703965824</v>
      </c>
      <c r="K135" s="174">
        <f t="shared" si="51"/>
        <v>7492.7782292080856</v>
      </c>
      <c r="L135" s="174">
        <f t="shared" si="51"/>
        <v>7245.0170290956048</v>
      </c>
      <c r="M135" s="174">
        <f t="shared" si="51"/>
        <v>7505.8376421430467</v>
      </c>
      <c r="N135" s="174">
        <f t="shared" si="51"/>
        <v>7776.0477972601975</v>
      </c>
    </row>
    <row r="136" spans="1:14" outlineLevel="1">
      <c r="A136" s="17" t="s">
        <v>70</v>
      </c>
      <c r="B136" s="16"/>
      <c r="C136" s="64"/>
      <c r="D136" s="30">
        <v>56044.971010573499</v>
      </c>
      <c r="E136" s="30">
        <v>69170.971010573499</v>
      </c>
      <c r="F136" s="30">
        <v>73623.971164695395</v>
      </c>
      <c r="G136" s="30">
        <v>88514.971164695409</v>
      </c>
      <c r="H136" s="30">
        <f t="shared" ref="H136:N136" ca="1" si="52">SUM(H133:H135)</f>
        <v>26062.8354630137</v>
      </c>
      <c r="I136" s="30">
        <f t="shared" ca="1" si="52"/>
        <v>26425.097539682196</v>
      </c>
      <c r="J136" s="30">
        <f t="shared" ca="1" si="52"/>
        <v>26414.67244214251</v>
      </c>
      <c r="K136" s="30">
        <f t="shared" ca="1" si="52"/>
        <v>26689.696940336868</v>
      </c>
      <c r="L136" s="30">
        <f t="shared" ca="1" si="52"/>
        <v>26557.024813825024</v>
      </c>
      <c r="M136" s="30">
        <f t="shared" ca="1" si="52"/>
        <v>26937.077707122728</v>
      </c>
      <c r="N136" s="30">
        <f t="shared" ca="1" si="52"/>
        <v>27330.812504579146</v>
      </c>
    </row>
    <row r="137" spans="1:14" outlineLevel="1">
      <c r="A137" s="4" t="s">
        <v>18</v>
      </c>
      <c r="D137" s="32">
        <v>27153</v>
      </c>
      <c r="E137" s="32">
        <v>25264</v>
      </c>
      <c r="F137" s="32">
        <v>23487</v>
      </c>
      <c r="G137" s="32">
        <v>21710</v>
      </c>
      <c r="H137" s="4">
        <f>H198</f>
        <v>32670.083200000001</v>
      </c>
      <c r="I137" s="4">
        <f>I198</f>
        <v>36012.724835200002</v>
      </c>
      <c r="J137" s="4">
        <f t="shared" ref="J137:N137" si="53">J198</f>
        <v>38721.118294538115</v>
      </c>
      <c r="K137" s="4">
        <f t="shared" si="53"/>
        <v>41279.925229489992</v>
      </c>
      <c r="L137" s="4">
        <f t="shared" si="53"/>
        <v>43324.04009859707</v>
      </c>
      <c r="M137" s="4">
        <f t="shared" si="53"/>
        <v>44717.885217985262</v>
      </c>
      <c r="N137" s="4">
        <f t="shared" si="53"/>
        <v>46190.927318399656</v>
      </c>
    </row>
    <row r="138" spans="1:14" outlineLevel="1">
      <c r="A138" s="4" t="s">
        <v>86</v>
      </c>
      <c r="D138" s="32">
        <v>0</v>
      </c>
      <c r="E138" s="32">
        <v>0</v>
      </c>
      <c r="F138" s="32">
        <v>0</v>
      </c>
      <c r="G138" s="32">
        <v>0</v>
      </c>
      <c r="H138" s="4">
        <f>L273</f>
        <v>123243.99999999999</v>
      </c>
      <c r="I138" s="4">
        <f>H138</f>
        <v>123243.99999999999</v>
      </c>
      <c r="J138" s="4">
        <f t="shared" ref="J138:N138" si="54">I138</f>
        <v>123243.99999999999</v>
      </c>
      <c r="K138" s="4">
        <f t="shared" si="54"/>
        <v>123243.99999999999</v>
      </c>
      <c r="L138" s="4">
        <f t="shared" si="54"/>
        <v>123243.99999999999</v>
      </c>
      <c r="M138" s="4">
        <f t="shared" si="54"/>
        <v>123243.99999999999</v>
      </c>
      <c r="N138" s="4">
        <f t="shared" si="54"/>
        <v>123243.99999999999</v>
      </c>
    </row>
    <row r="139" spans="1:14" ht="17" outlineLevel="1" thickBot="1">
      <c r="A139" s="34" t="s">
        <v>19</v>
      </c>
      <c r="B139" s="34"/>
      <c r="C139" s="35"/>
      <c r="D139" s="36">
        <v>83197.971010573499</v>
      </c>
      <c r="E139" s="36">
        <v>94434.971010573499</v>
      </c>
      <c r="F139" s="36">
        <v>97110.971164695395</v>
      </c>
      <c r="G139" s="36">
        <v>110224.97116469541</v>
      </c>
      <c r="H139" s="36">
        <f t="shared" ref="H139:N139" ca="1" si="55">SUM(H136:H138)</f>
        <v>181976.91866301367</v>
      </c>
      <c r="I139" s="36">
        <f t="shared" ca="1" si="55"/>
        <v>185681.82237488218</v>
      </c>
      <c r="J139" s="36">
        <f t="shared" ca="1" si="55"/>
        <v>188379.79073668062</v>
      </c>
      <c r="K139" s="36">
        <f t="shared" ca="1" si="55"/>
        <v>191213.62216982685</v>
      </c>
      <c r="L139" s="36">
        <f t="shared" ca="1" si="55"/>
        <v>193125.06491242209</v>
      </c>
      <c r="M139" s="36">
        <f t="shared" ca="1" si="55"/>
        <v>194898.96292510798</v>
      </c>
      <c r="N139" s="36">
        <f t="shared" ca="1" si="55"/>
        <v>196765.73982297879</v>
      </c>
    </row>
    <row r="140" spans="1:14" ht="17" outlineLevel="1" thickTop="1">
      <c r="A140" s="22"/>
      <c r="B140" s="22"/>
      <c r="C140" s="23"/>
      <c r="D140" s="24"/>
      <c r="E140" s="24"/>
      <c r="F140" s="24"/>
      <c r="G140" s="24"/>
      <c r="H140" s="32"/>
      <c r="I140" s="32"/>
      <c r="J140" s="32"/>
      <c r="K140" s="32"/>
      <c r="L140" s="32"/>
      <c r="M140" s="32"/>
      <c r="N140" s="32"/>
    </row>
    <row r="141" spans="1:14" outlineLevel="1">
      <c r="A141" s="15" t="s">
        <v>20</v>
      </c>
      <c r="C141" s="37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</row>
    <row r="142" spans="1:14" outlineLevel="1">
      <c r="A142" s="4" t="s">
        <v>71</v>
      </c>
      <c r="C142" s="37"/>
      <c r="D142" s="32">
        <v>0</v>
      </c>
      <c r="E142" s="32">
        <v>0</v>
      </c>
      <c r="F142" s="32">
        <v>0</v>
      </c>
      <c r="G142" s="32">
        <v>0</v>
      </c>
      <c r="H142" s="4">
        <f ca="1">H224</f>
        <v>13134.591666318633</v>
      </c>
      <c r="I142" s="4">
        <f ca="1">I224</f>
        <v>15743.548299431535</v>
      </c>
      <c r="J142" s="4">
        <f t="shared" ref="J142:N142" ca="1" si="56">J224</f>
        <v>14685.386510875305</v>
      </c>
      <c r="K142" s="4">
        <f t="shared" ca="1" si="56"/>
        <v>11954.455920229426</v>
      </c>
      <c r="L142" s="4">
        <f t="shared" ca="1" si="56"/>
        <v>32129.642472234707</v>
      </c>
      <c r="M142" s="4">
        <f t="shared" ca="1" si="56"/>
        <v>44102.104621267827</v>
      </c>
      <c r="N142" s="4">
        <f t="shared" ca="1" si="56"/>
        <v>35651.085601733284</v>
      </c>
    </row>
    <row r="143" spans="1:14" outlineLevel="1">
      <c r="A143" s="4" t="s">
        <v>21</v>
      </c>
      <c r="C143" s="37"/>
      <c r="D143" s="32">
        <v>2761</v>
      </c>
      <c r="E143" s="32">
        <v>2899</v>
      </c>
      <c r="F143" s="32">
        <v>2920</v>
      </c>
      <c r="G143" s="32">
        <v>3544</v>
      </c>
      <c r="H143" s="174">
        <f>H114*H44/$D$16</f>
        <v>2875.0958465753429</v>
      </c>
      <c r="I143" s="174">
        <f>I114*I44/$D$16</f>
        <v>2978.599297052056</v>
      </c>
      <c r="J143" s="174">
        <f t="shared" ref="J143:N143" si="57">J114*J44/$D$16</f>
        <v>2931.5374281586332</v>
      </c>
      <c r="K143" s="174">
        <f t="shared" si="57"/>
        <v>2997.1112916832344</v>
      </c>
      <c r="L143" s="174">
        <f t="shared" si="57"/>
        <v>2898.0068116382413</v>
      </c>
      <c r="M143" s="174">
        <f t="shared" si="57"/>
        <v>3002.3350568572187</v>
      </c>
      <c r="N143" s="174">
        <f t="shared" si="57"/>
        <v>3110.4191189040789</v>
      </c>
    </row>
    <row r="144" spans="1:14" s="15" customFormat="1" outlineLevel="1">
      <c r="A144" s="17" t="s">
        <v>73</v>
      </c>
      <c r="B144" s="17"/>
      <c r="C144" s="91"/>
      <c r="D144" s="30">
        <v>2761</v>
      </c>
      <c r="E144" s="30">
        <v>2899</v>
      </c>
      <c r="F144" s="30">
        <v>2920</v>
      </c>
      <c r="G144" s="30">
        <v>3544</v>
      </c>
      <c r="H144" s="30">
        <f t="shared" ref="H144:N144" ca="1" si="58">SUM(H142:H143)</f>
        <v>16009.687512893976</v>
      </c>
      <c r="I144" s="30">
        <f t="shared" ca="1" si="58"/>
        <v>18722.147596483592</v>
      </c>
      <c r="J144" s="30">
        <f t="shared" ca="1" si="58"/>
        <v>17616.923939033939</v>
      </c>
      <c r="K144" s="30">
        <f t="shared" ca="1" si="58"/>
        <v>14951.567211912661</v>
      </c>
      <c r="L144" s="30">
        <f t="shared" ca="1" si="58"/>
        <v>35027.649283872946</v>
      </c>
      <c r="M144" s="30">
        <f t="shared" ca="1" si="58"/>
        <v>47104.439678125047</v>
      </c>
      <c r="N144" s="30">
        <f t="shared" ca="1" si="58"/>
        <v>38761.504720637364</v>
      </c>
    </row>
    <row r="145" spans="1:14" outlineLevel="1">
      <c r="A145" s="4" t="s">
        <v>72</v>
      </c>
      <c r="D145" s="32">
        <v>35011</v>
      </c>
      <c r="E145" s="32">
        <v>35011</v>
      </c>
      <c r="F145" s="32">
        <v>25810</v>
      </c>
      <c r="G145" s="32">
        <v>25810</v>
      </c>
      <c r="H145" s="4">
        <f ca="1">H256</f>
        <v>123000</v>
      </c>
      <c r="I145" s="4">
        <f ca="1">I256</f>
        <v>111000</v>
      </c>
      <c r="J145" s="4">
        <f t="shared" ref="J145:N145" ca="1" si="59">J256</f>
        <v>99000</v>
      </c>
      <c r="K145" s="4">
        <f t="shared" ca="1" si="59"/>
        <v>87000</v>
      </c>
      <c r="L145" s="4">
        <f t="shared" ca="1" si="59"/>
        <v>48000</v>
      </c>
      <c r="M145" s="4">
        <f t="shared" ca="1" si="59"/>
        <v>15000</v>
      </c>
      <c r="N145" s="4">
        <f t="shared" ca="1" si="59"/>
        <v>0</v>
      </c>
    </row>
    <row r="146" spans="1:14" outlineLevel="1">
      <c r="A146" s="17" t="s">
        <v>22</v>
      </c>
      <c r="B146" s="17"/>
      <c r="C146" s="18"/>
      <c r="D146" s="30">
        <v>37772</v>
      </c>
      <c r="E146" s="30">
        <v>37910</v>
      </c>
      <c r="F146" s="30">
        <v>28730</v>
      </c>
      <c r="G146" s="30">
        <v>29354</v>
      </c>
      <c r="H146" s="30">
        <f t="shared" ref="H146:N146" ca="1" si="60">SUM(H144:H145)</f>
        <v>139009.68751289399</v>
      </c>
      <c r="I146" s="30">
        <f t="shared" ca="1" si="60"/>
        <v>129722.14759648358</v>
      </c>
      <c r="J146" s="30">
        <f t="shared" ca="1" si="60"/>
        <v>116616.92393903394</v>
      </c>
      <c r="K146" s="30">
        <f t="shared" ca="1" si="60"/>
        <v>101951.56721191265</v>
      </c>
      <c r="L146" s="30">
        <f t="shared" ca="1" si="60"/>
        <v>83027.649283872946</v>
      </c>
      <c r="M146" s="30">
        <f t="shared" ca="1" si="60"/>
        <v>62104.439678125047</v>
      </c>
      <c r="N146" s="30">
        <f t="shared" ca="1" si="60"/>
        <v>38761.504720637364</v>
      </c>
    </row>
    <row r="147" spans="1:14" outlineLevel="1">
      <c r="A147" s="15" t="s">
        <v>23</v>
      </c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</row>
    <row r="148" spans="1:14" outlineLevel="1">
      <c r="A148" s="4" t="s">
        <v>24</v>
      </c>
      <c r="D148" s="32">
        <v>43500</v>
      </c>
      <c r="E148" s="32">
        <v>43500</v>
      </c>
      <c r="F148" s="32">
        <v>43500</v>
      </c>
      <c r="G148" s="32">
        <v>43500</v>
      </c>
      <c r="H148" s="4">
        <f ca="1">L283+H173+H174</f>
        <v>38639.757820383442</v>
      </c>
      <c r="I148" s="4">
        <f ca="1">H148+I173+I174</f>
        <v>38639.757820383442</v>
      </c>
      <c r="J148" s="4">
        <f t="shared" ref="J148:N148" ca="1" si="61">I148+J173+J174</f>
        <v>38639.757820383442</v>
      </c>
      <c r="K148" s="4">
        <f t="shared" ca="1" si="61"/>
        <v>38639.757820383442</v>
      </c>
      <c r="L148" s="4">
        <f t="shared" ca="1" si="61"/>
        <v>38639.757820383442</v>
      </c>
      <c r="M148" s="4">
        <f t="shared" ca="1" si="61"/>
        <v>38639.757820383442</v>
      </c>
      <c r="N148" s="4">
        <f t="shared" ca="1" si="61"/>
        <v>38639.757820383442</v>
      </c>
    </row>
    <row r="149" spans="1:14" outlineLevel="1">
      <c r="A149" s="4" t="s">
        <v>25</v>
      </c>
      <c r="D149" s="32">
        <v>1925.971</v>
      </c>
      <c r="E149" s="47">
        <v>13024.971</v>
      </c>
      <c r="F149" s="47">
        <v>24880.970999999998</v>
      </c>
      <c r="G149" s="47">
        <v>37370.970999999998</v>
      </c>
      <c r="H149" s="4">
        <f ca="1">L284+H126+H175</f>
        <v>4327.4733297362691</v>
      </c>
      <c r="I149" s="4">
        <f ca="1">H149+I126+I175</f>
        <v>17319.916958015157</v>
      </c>
      <c r="J149" s="4">
        <f t="shared" ref="J149:N149" ca="1" si="62">I149+J126+J175</f>
        <v>33123.10897726324</v>
      </c>
      <c r="K149" s="4">
        <f t="shared" ca="1" si="62"/>
        <v>50622.297137530753</v>
      </c>
      <c r="L149" s="4">
        <f t="shared" ca="1" si="62"/>
        <v>71457.657808165706</v>
      </c>
      <c r="M149" s="4">
        <f t="shared" ca="1" si="62"/>
        <v>94154.765426599493</v>
      </c>
      <c r="N149" s="4">
        <f t="shared" ca="1" si="62"/>
        <v>119364.477281958</v>
      </c>
    </row>
    <row r="150" spans="1:14" outlineLevel="1">
      <c r="A150" s="38" t="s">
        <v>23</v>
      </c>
      <c r="B150" s="38"/>
      <c r="C150" s="39"/>
      <c r="D150" s="40">
        <v>45425.970999999998</v>
      </c>
      <c r="E150" s="40">
        <v>56524.970999999998</v>
      </c>
      <c r="F150" s="40">
        <v>68380.97099999999</v>
      </c>
      <c r="G150" s="40">
        <v>80870.97099999999</v>
      </c>
      <c r="H150" s="40">
        <f t="shared" ref="H150:N150" ca="1" si="63">SUM(H148:H149)</f>
        <v>42967.231150119711</v>
      </c>
      <c r="I150" s="40">
        <f t="shared" ca="1" si="63"/>
        <v>55959.674778398599</v>
      </c>
      <c r="J150" s="40">
        <f t="shared" ca="1" si="63"/>
        <v>71762.866797646682</v>
      </c>
      <c r="K150" s="40">
        <f t="shared" ca="1" si="63"/>
        <v>89262.054957914195</v>
      </c>
      <c r="L150" s="40">
        <f t="shared" ca="1" si="63"/>
        <v>110097.41562854915</v>
      </c>
      <c r="M150" s="40">
        <f t="shared" ca="1" si="63"/>
        <v>132794.52324698295</v>
      </c>
      <c r="N150" s="40">
        <f t="shared" ca="1" si="63"/>
        <v>158004.23510234145</v>
      </c>
    </row>
    <row r="151" spans="1:14" ht="17" outlineLevel="1" thickBot="1">
      <c r="A151" s="34" t="s">
        <v>26</v>
      </c>
      <c r="B151" s="34"/>
      <c r="C151" s="35"/>
      <c r="D151" s="36">
        <v>83197.97099999999</v>
      </c>
      <c r="E151" s="36">
        <v>94434.97099999999</v>
      </c>
      <c r="F151" s="36">
        <v>97110.97099999999</v>
      </c>
      <c r="G151" s="36">
        <v>110224.97099999999</v>
      </c>
      <c r="H151" s="36">
        <f t="shared" ref="H151:N151" ca="1" si="64">H146+H150</f>
        <v>181976.9186630137</v>
      </c>
      <c r="I151" s="36">
        <f t="shared" ca="1" si="64"/>
        <v>185681.82237488218</v>
      </c>
      <c r="J151" s="36">
        <f t="shared" ca="1" si="64"/>
        <v>188379.79073668062</v>
      </c>
      <c r="K151" s="36">
        <f t="shared" ca="1" si="64"/>
        <v>191213.62216982685</v>
      </c>
      <c r="L151" s="36">
        <f t="shared" ca="1" si="64"/>
        <v>193125.06491242209</v>
      </c>
      <c r="M151" s="36">
        <f t="shared" ca="1" si="64"/>
        <v>194898.962925108</v>
      </c>
      <c r="N151" s="36">
        <f t="shared" ca="1" si="64"/>
        <v>196765.73982297882</v>
      </c>
    </row>
    <row r="152" spans="1:14" ht="17" outlineLevel="1" thickTop="1"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1:14" outlineLevel="1">
      <c r="A153" s="41" t="s">
        <v>27</v>
      </c>
      <c r="B153" s="42"/>
      <c r="C153" s="43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</row>
    <row r="154" spans="1:14" outlineLevel="1">
      <c r="A154" s="41"/>
      <c r="B154" s="42"/>
      <c r="C154" s="43"/>
      <c r="D154" s="42"/>
      <c r="E154" s="42"/>
      <c r="F154" s="42"/>
      <c r="G154" s="42"/>
      <c r="H154" s="32"/>
    </row>
    <row r="155" spans="1:14">
      <c r="D155" s="32"/>
      <c r="E155" s="32"/>
      <c r="F155" s="32"/>
      <c r="G155" s="32"/>
      <c r="H155" s="32"/>
    </row>
    <row r="156" spans="1:14" ht="20">
      <c r="A156" s="10" t="s">
        <v>28</v>
      </c>
      <c r="B156" s="11"/>
      <c r="C156" s="12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ht="17" outlineLevel="1">
      <c r="D157" s="111">
        <f t="shared" ref="D157:F157" si="65">E157-1</f>
        <v>2014</v>
      </c>
      <c r="E157" s="111">
        <f t="shared" si="65"/>
        <v>2015</v>
      </c>
      <c r="F157" s="111">
        <f t="shared" si="65"/>
        <v>2016</v>
      </c>
      <c r="G157" s="111">
        <f>H157-1</f>
        <v>2017</v>
      </c>
      <c r="H157" s="112">
        <f>$D$11</f>
        <v>2018</v>
      </c>
      <c r="I157" s="112">
        <f>H157+1</f>
        <v>2019</v>
      </c>
      <c r="J157" s="112">
        <f t="shared" ref="J157:N157" si="66">I157+1</f>
        <v>2020</v>
      </c>
      <c r="K157" s="112">
        <f t="shared" si="66"/>
        <v>2021</v>
      </c>
      <c r="L157" s="112">
        <f t="shared" si="66"/>
        <v>2022</v>
      </c>
      <c r="M157" s="112">
        <f t="shared" si="66"/>
        <v>2023</v>
      </c>
      <c r="N157" s="112">
        <f t="shared" si="66"/>
        <v>2024</v>
      </c>
    </row>
    <row r="158" spans="1:14" outlineLevel="1">
      <c r="A158" s="16"/>
      <c r="B158" s="16"/>
      <c r="C158" s="44"/>
      <c r="D158" s="49"/>
      <c r="E158" s="49"/>
      <c r="F158" s="49"/>
      <c r="G158" s="49"/>
      <c r="H158" s="49"/>
      <c r="I158" s="16"/>
      <c r="J158" s="16"/>
      <c r="K158" s="16"/>
      <c r="L158" s="16"/>
      <c r="M158" s="16"/>
      <c r="N158" s="16"/>
    </row>
    <row r="159" spans="1:14" outlineLevel="1">
      <c r="A159" s="15" t="s">
        <v>29</v>
      </c>
      <c r="D159" s="32"/>
      <c r="E159" s="32"/>
      <c r="F159" s="32"/>
      <c r="G159" s="32"/>
      <c r="H159" s="32"/>
    </row>
    <row r="160" spans="1:14" outlineLevel="1">
      <c r="A160" s="4" t="s">
        <v>12</v>
      </c>
      <c r="D160" s="4">
        <v>10924</v>
      </c>
      <c r="E160" s="4">
        <v>11099</v>
      </c>
      <c r="F160" s="4">
        <v>11856</v>
      </c>
      <c r="G160" s="4">
        <v>12490</v>
      </c>
      <c r="H160" s="4">
        <f ca="1">H126</f>
        <v>11967.231150119718</v>
      </c>
      <c r="I160" s="4">
        <f t="shared" ref="I160:N160" ca="1" si="67">I126</f>
        <v>12992.443628278888</v>
      </c>
      <c r="J160" s="4">
        <f t="shared" ca="1" si="67"/>
        <v>15803.192019248083</v>
      </c>
      <c r="K160" s="4">
        <f t="shared" ca="1" si="67"/>
        <v>17499.188160267509</v>
      </c>
      <c r="L160" s="4">
        <f t="shared" ca="1" si="67"/>
        <v>20835.360670634949</v>
      </c>
      <c r="M160" s="4">
        <f t="shared" ca="1" si="67"/>
        <v>22697.107618433791</v>
      </c>
      <c r="N160" s="4">
        <f t="shared" ca="1" si="67"/>
        <v>25209.711855358502</v>
      </c>
    </row>
    <row r="161" spans="1:14" outlineLevel="1">
      <c r="A161" s="4" t="s">
        <v>30</v>
      </c>
      <c r="D161" s="4">
        <v>11558</v>
      </c>
      <c r="E161" s="4">
        <v>10689</v>
      </c>
      <c r="F161" s="4">
        <v>9577</v>
      </c>
      <c r="G161" s="4">
        <v>9577</v>
      </c>
      <c r="H161" s="4">
        <f>H121</f>
        <v>5075</v>
      </c>
      <c r="I161" s="4">
        <f t="shared" ref="I161:N161" si="68">I121</f>
        <v>5717.2645599999996</v>
      </c>
      <c r="J161" s="4">
        <f t="shared" si="68"/>
        <v>6302.2268461599997</v>
      </c>
      <c r="K161" s="4">
        <f t="shared" si="68"/>
        <v>6776.1957015441694</v>
      </c>
      <c r="L161" s="4">
        <f t="shared" si="68"/>
        <v>7223.9869151607481</v>
      </c>
      <c r="M161" s="4">
        <f t="shared" si="68"/>
        <v>7581.7070172544863</v>
      </c>
      <c r="N161" s="4">
        <f t="shared" si="68"/>
        <v>7825.6299131474207</v>
      </c>
    </row>
    <row r="162" spans="1:14" outlineLevel="1">
      <c r="A162" s="4" t="s">
        <v>31</v>
      </c>
      <c r="D162" s="32">
        <v>5292</v>
      </c>
      <c r="E162" s="4">
        <v>448</v>
      </c>
      <c r="F162" s="4">
        <v>1842</v>
      </c>
      <c r="G162" s="4">
        <v>-848.28299999999945</v>
      </c>
      <c r="H162" s="4">
        <f>H192</f>
        <v>431.73961643835628</v>
      </c>
      <c r="I162" s="4">
        <f t="shared" ref="I162:N162" si="69">I192</f>
        <v>258.75862619178224</v>
      </c>
      <c r="J162" s="4">
        <f t="shared" si="69"/>
        <v>36.636771353738368</v>
      </c>
      <c r="K162" s="4">
        <f t="shared" si="69"/>
        <v>209.45063466975535</v>
      </c>
      <c r="L162" s="4">
        <f t="shared" si="69"/>
        <v>-33.56764646684951</v>
      </c>
      <c r="M162" s="4">
        <f t="shared" si="69"/>
        <v>275.72464807872348</v>
      </c>
      <c r="N162" s="4">
        <f t="shared" si="69"/>
        <v>285.65073540955927</v>
      </c>
    </row>
    <row r="163" spans="1:14" outlineLevel="1">
      <c r="A163" s="17" t="s">
        <v>32</v>
      </c>
      <c r="B163" s="16"/>
      <c r="C163" s="44"/>
      <c r="D163" s="30">
        <v>17190</v>
      </c>
      <c r="E163" s="30">
        <v>21340</v>
      </c>
      <c r="F163" s="30">
        <v>19591</v>
      </c>
      <c r="G163" s="30">
        <v>22915.282999999999</v>
      </c>
      <c r="H163" s="30">
        <f t="shared" ref="H163:N163" ca="1" si="70">H160+H161-H162</f>
        <v>16610.491533681361</v>
      </c>
      <c r="I163" s="30">
        <f t="shared" ca="1" si="70"/>
        <v>18450.949562087106</v>
      </c>
      <c r="J163" s="30">
        <f t="shared" ca="1" si="70"/>
        <v>22068.782094054346</v>
      </c>
      <c r="K163" s="30">
        <f t="shared" ca="1" si="70"/>
        <v>24065.933227141923</v>
      </c>
      <c r="L163" s="30">
        <f t="shared" ca="1" si="70"/>
        <v>28092.915232262549</v>
      </c>
      <c r="M163" s="30">
        <f t="shared" ca="1" si="70"/>
        <v>30003.089987609557</v>
      </c>
      <c r="N163" s="30">
        <f t="shared" ca="1" si="70"/>
        <v>32749.691033096366</v>
      </c>
    </row>
    <row r="164" spans="1:14" outlineLevel="1">
      <c r="A164" s="22"/>
      <c r="B164" s="19"/>
      <c r="C164" s="20"/>
      <c r="D164" s="24"/>
      <c r="E164" s="24"/>
      <c r="F164" s="24"/>
      <c r="G164" s="24"/>
      <c r="H164" s="32"/>
    </row>
    <row r="165" spans="1:14" outlineLevel="1">
      <c r="A165" s="15" t="s">
        <v>33</v>
      </c>
      <c r="D165" s="29"/>
      <c r="E165" s="29"/>
      <c r="F165" s="29"/>
      <c r="G165" s="29"/>
      <c r="H165" s="32"/>
    </row>
    <row r="166" spans="1:14" outlineLevel="1">
      <c r="A166" s="4" t="s">
        <v>34</v>
      </c>
      <c r="D166" s="32">
        <v>-8800</v>
      </c>
      <c r="E166" s="32">
        <v>-8800</v>
      </c>
      <c r="F166" s="32">
        <v>-7800</v>
      </c>
      <c r="G166" s="32">
        <v>-7800</v>
      </c>
      <c r="H166" s="47">
        <f>-H196</f>
        <v>-8745.0832000000009</v>
      </c>
      <c r="I166" s="47">
        <f t="shared" ref="I166:N166" si="71">-I196</f>
        <v>-9059.9061952000029</v>
      </c>
      <c r="J166" s="47">
        <f t="shared" si="71"/>
        <v>-9010.6203054981142</v>
      </c>
      <c r="K166" s="47">
        <f t="shared" si="71"/>
        <v>-9335.0026364960468</v>
      </c>
      <c r="L166" s="47">
        <f t="shared" si="71"/>
        <v>-9268.1017842678248</v>
      </c>
      <c r="M166" s="47">
        <f t="shared" si="71"/>
        <v>-8975.5521366426747</v>
      </c>
      <c r="N166" s="47">
        <f t="shared" si="71"/>
        <v>-9298.6720135618125</v>
      </c>
    </row>
    <row r="167" spans="1:14" outlineLevel="1">
      <c r="A167" s="4" t="s">
        <v>92</v>
      </c>
      <c r="D167" s="19"/>
      <c r="E167" s="19"/>
      <c r="F167" s="19"/>
      <c r="G167" s="19"/>
      <c r="H167" s="14"/>
      <c r="I167" s="14"/>
      <c r="J167" s="14"/>
      <c r="K167" s="14"/>
      <c r="L167" s="14"/>
      <c r="M167" s="14"/>
      <c r="N167" s="14"/>
    </row>
    <row r="168" spans="1:14" outlineLevel="1">
      <c r="A168" s="17" t="s">
        <v>35</v>
      </c>
      <c r="B168" s="16"/>
      <c r="C168" s="44"/>
      <c r="D168" s="30">
        <v>-8800</v>
      </c>
      <c r="E168" s="30">
        <v>-8800</v>
      </c>
      <c r="F168" s="30">
        <v>-7800</v>
      </c>
      <c r="G168" s="30">
        <v>-7800</v>
      </c>
      <c r="H168" s="30">
        <f t="shared" ref="H168:N168" si="72">SUM(H166:H167)</f>
        <v>-8745.0832000000009</v>
      </c>
      <c r="I168" s="30">
        <f t="shared" si="72"/>
        <v>-9059.9061952000029</v>
      </c>
      <c r="J168" s="30">
        <f t="shared" si="72"/>
        <v>-9010.6203054981142</v>
      </c>
      <c r="K168" s="30">
        <f t="shared" si="72"/>
        <v>-9335.0026364960468</v>
      </c>
      <c r="L168" s="30">
        <f t="shared" si="72"/>
        <v>-9268.1017842678248</v>
      </c>
      <c r="M168" s="30">
        <f t="shared" si="72"/>
        <v>-8975.5521366426747</v>
      </c>
      <c r="N168" s="30">
        <f t="shared" si="72"/>
        <v>-9298.6720135618125</v>
      </c>
    </row>
    <row r="169" spans="1:14" outlineLevel="1">
      <c r="A169" s="22"/>
      <c r="B169" s="19"/>
      <c r="C169" s="20"/>
      <c r="D169" s="24"/>
      <c r="E169" s="24"/>
      <c r="F169" s="24"/>
      <c r="G169" s="24"/>
      <c r="H169" s="32"/>
    </row>
    <row r="170" spans="1:14" outlineLevel="1">
      <c r="A170" s="15" t="s">
        <v>36</v>
      </c>
      <c r="D170" s="29"/>
      <c r="E170" s="29"/>
      <c r="F170" s="29"/>
      <c r="G170" s="29"/>
      <c r="H170" s="32"/>
    </row>
    <row r="171" spans="1:14" outlineLevel="1">
      <c r="A171" s="4" t="s">
        <v>161</v>
      </c>
      <c r="D171" s="29">
        <v>0</v>
      </c>
      <c r="E171" s="29">
        <v>0</v>
      </c>
      <c r="F171" s="29">
        <v>0</v>
      </c>
      <c r="G171" s="29">
        <v>0</v>
      </c>
      <c r="H171" s="47">
        <f ca="1">H222</f>
        <v>4134.5916663186326</v>
      </c>
      <c r="I171" s="47">
        <f t="shared" ref="I171:N171" ca="1" si="73">I222</f>
        <v>2608.9566331129026</v>
      </c>
      <c r="J171" s="47">
        <f t="shared" ca="1" si="73"/>
        <v>0</v>
      </c>
      <c r="K171" s="47">
        <f t="shared" ca="1" si="73"/>
        <v>-3.637978807091713E-12</v>
      </c>
      <c r="L171" s="47">
        <f t="shared" ca="1" si="73"/>
        <v>20175.186552005282</v>
      </c>
      <c r="M171" s="47">
        <f t="shared" ca="1" si="73"/>
        <v>11972.462149033119</v>
      </c>
      <c r="N171" s="47">
        <f t="shared" ca="1" si="73"/>
        <v>3.637978807091713E-12</v>
      </c>
    </row>
    <row r="172" spans="1:14" outlineLevel="1">
      <c r="A172" s="4" t="s">
        <v>152</v>
      </c>
      <c r="D172" s="29">
        <v>0</v>
      </c>
      <c r="E172" s="29">
        <v>0</v>
      </c>
      <c r="F172" s="29">
        <v>-9200.9998458780992</v>
      </c>
      <c r="G172" s="29">
        <v>0</v>
      </c>
      <c r="H172" s="47">
        <f ca="1">-(H223+H254+H255)</f>
        <v>-12000</v>
      </c>
      <c r="I172" s="47">
        <f t="shared" ref="I172:N172" ca="1" si="74">-(I223+I254+I255)</f>
        <v>-12000</v>
      </c>
      <c r="J172" s="47">
        <f t="shared" ca="1" si="74"/>
        <v>-13058.16178855623</v>
      </c>
      <c r="K172" s="47">
        <f t="shared" ca="1" si="74"/>
        <v>-14730.930590645876</v>
      </c>
      <c r="L172" s="47">
        <f t="shared" ca="1" si="74"/>
        <v>-39000</v>
      </c>
      <c r="M172" s="47">
        <f t="shared" ca="1" si="74"/>
        <v>-33000</v>
      </c>
      <c r="N172" s="47">
        <f t="shared" ca="1" si="74"/>
        <v>-23451.019019534553</v>
      </c>
    </row>
    <row r="173" spans="1:14" outlineLevel="1">
      <c r="A173" s="4" t="s">
        <v>153</v>
      </c>
      <c r="D173" s="29">
        <v>39601.971010573499</v>
      </c>
      <c r="E173" s="29">
        <v>0</v>
      </c>
      <c r="F173" s="29">
        <v>0</v>
      </c>
      <c r="G173" s="29">
        <v>0</v>
      </c>
      <c r="H173" s="162"/>
      <c r="I173" s="162"/>
      <c r="J173" s="162"/>
      <c r="K173" s="162"/>
      <c r="L173" s="162"/>
      <c r="M173" s="162"/>
      <c r="N173" s="162"/>
    </row>
    <row r="174" spans="1:14" outlineLevel="1">
      <c r="A174" s="4" t="s">
        <v>154</v>
      </c>
      <c r="D174" s="29"/>
      <c r="E174" s="29"/>
      <c r="F174" s="29"/>
      <c r="G174" s="29"/>
      <c r="H174" s="162"/>
      <c r="I174" s="162"/>
      <c r="J174" s="162"/>
      <c r="K174" s="162"/>
      <c r="L174" s="162"/>
      <c r="M174" s="162"/>
      <c r="N174" s="162"/>
    </row>
    <row r="175" spans="1:14" outlineLevel="1">
      <c r="A175" s="4" t="s">
        <v>100</v>
      </c>
      <c r="D175" s="29">
        <v>0</v>
      </c>
      <c r="E175" s="29">
        <v>0</v>
      </c>
      <c r="F175" s="29">
        <v>0</v>
      </c>
      <c r="G175" s="29">
        <v>0</v>
      </c>
      <c r="H175" s="162"/>
      <c r="I175" s="162"/>
      <c r="J175" s="162"/>
      <c r="K175" s="162"/>
      <c r="L175" s="162"/>
      <c r="M175" s="162"/>
      <c r="N175" s="162"/>
    </row>
    <row r="176" spans="1:14" outlineLevel="1">
      <c r="A176" s="17" t="s">
        <v>37</v>
      </c>
      <c r="B176" s="16"/>
      <c r="C176" s="44"/>
      <c r="D176" s="30">
        <v>39601.971010573499</v>
      </c>
      <c r="E176" s="30">
        <v>0</v>
      </c>
      <c r="F176" s="30">
        <v>-9200.9998458780992</v>
      </c>
      <c r="G176" s="30">
        <v>0</v>
      </c>
      <c r="H176" s="30">
        <f t="shared" ref="H176:N176" ca="1" si="75">SUM(H171:H175)</f>
        <v>-7865.4083336813674</v>
      </c>
      <c r="I176" s="30">
        <f t="shared" ca="1" si="75"/>
        <v>-9391.0433668870974</v>
      </c>
      <c r="J176" s="30">
        <f t="shared" ca="1" si="75"/>
        <v>-13058.16178855623</v>
      </c>
      <c r="K176" s="30">
        <f t="shared" ca="1" si="75"/>
        <v>-14730.930590645879</v>
      </c>
      <c r="L176" s="30">
        <f t="shared" ca="1" si="75"/>
        <v>-18824.813447994718</v>
      </c>
      <c r="M176" s="30">
        <f t="shared" ca="1" si="75"/>
        <v>-21027.537850966881</v>
      </c>
      <c r="N176" s="30">
        <f t="shared" ca="1" si="75"/>
        <v>-23451.019019534549</v>
      </c>
    </row>
    <row r="177" spans="1:14" outlineLevel="1">
      <c r="A177" s="22"/>
      <c r="B177" s="19"/>
      <c r="C177" s="20"/>
      <c r="D177" s="24"/>
      <c r="E177" s="24"/>
      <c r="F177" s="24"/>
      <c r="G177" s="24"/>
      <c r="H177" s="32"/>
    </row>
    <row r="178" spans="1:14" outlineLevel="1">
      <c r="A178" s="4" t="s">
        <v>38</v>
      </c>
      <c r="D178" s="45">
        <v>47991.971010573499</v>
      </c>
      <c r="E178" s="45">
        <v>12540</v>
      </c>
      <c r="F178" s="45">
        <v>2590.0001541219008</v>
      </c>
      <c r="G178" s="45">
        <v>15115.282999999999</v>
      </c>
      <c r="H178" s="45">
        <f t="shared" ref="H178:N178" ca="1" si="76">H163+H168+H176</f>
        <v>-7.2759576141834259E-12</v>
      </c>
      <c r="I178" s="45">
        <f t="shared" ca="1" si="76"/>
        <v>0</v>
      </c>
      <c r="J178" s="45">
        <f t="shared" ca="1" si="76"/>
        <v>0</v>
      </c>
      <c r="K178" s="45">
        <f t="shared" ca="1" si="76"/>
        <v>0</v>
      </c>
      <c r="L178" s="45">
        <f t="shared" ca="1" si="76"/>
        <v>0</v>
      </c>
      <c r="M178" s="45">
        <f t="shared" ca="1" si="76"/>
        <v>0</v>
      </c>
      <c r="N178" s="45">
        <f t="shared" ca="1" si="76"/>
        <v>0</v>
      </c>
    </row>
    <row r="179" spans="1:14" outlineLevel="1">
      <c r="A179" s="4" t="s">
        <v>39</v>
      </c>
      <c r="D179" s="29">
        <v>0</v>
      </c>
      <c r="E179" s="19">
        <v>47991.971010573499</v>
      </c>
      <c r="F179" s="19">
        <v>60531.971010573499</v>
      </c>
      <c r="G179" s="19">
        <v>63121.971164695402</v>
      </c>
      <c r="H179" s="132">
        <f ca="1">L268</f>
        <v>16000.000000000007</v>
      </c>
      <c r="I179" s="4">
        <f ca="1">H180</f>
        <v>16000</v>
      </c>
      <c r="J179" s="4">
        <f t="shared" ref="J179:N179" ca="1" si="77">I180</f>
        <v>16000</v>
      </c>
      <c r="K179" s="4">
        <f t="shared" ca="1" si="77"/>
        <v>16000</v>
      </c>
      <c r="L179" s="4">
        <f t="shared" ca="1" si="77"/>
        <v>16000</v>
      </c>
      <c r="M179" s="4">
        <f t="shared" ca="1" si="77"/>
        <v>16000</v>
      </c>
      <c r="N179" s="4">
        <f t="shared" ca="1" si="77"/>
        <v>16000</v>
      </c>
    </row>
    <row r="180" spans="1:14" outlineLevel="1">
      <c r="A180" s="17" t="s">
        <v>40</v>
      </c>
      <c r="B180" s="16"/>
      <c r="C180" s="44"/>
      <c r="D180" s="30">
        <v>47991.971010573499</v>
      </c>
      <c r="E180" s="30">
        <v>60531.971010573499</v>
      </c>
      <c r="F180" s="30">
        <v>63121.971164695402</v>
      </c>
      <c r="G180" s="30">
        <v>78237.254164695405</v>
      </c>
      <c r="H180" s="30">
        <f t="shared" ref="H180:N180" ca="1" si="78">H179+H178</f>
        <v>16000</v>
      </c>
      <c r="I180" s="30">
        <f t="shared" ca="1" si="78"/>
        <v>16000</v>
      </c>
      <c r="J180" s="30">
        <f t="shared" ca="1" si="78"/>
        <v>16000</v>
      </c>
      <c r="K180" s="30">
        <f t="shared" ca="1" si="78"/>
        <v>16000</v>
      </c>
      <c r="L180" s="30">
        <f t="shared" ca="1" si="78"/>
        <v>16000</v>
      </c>
      <c r="M180" s="30">
        <f t="shared" ca="1" si="78"/>
        <v>16000</v>
      </c>
      <c r="N180" s="30">
        <f t="shared" ca="1" si="78"/>
        <v>16000</v>
      </c>
    </row>
    <row r="181" spans="1:14" outlineLevel="1">
      <c r="A181" s="15"/>
      <c r="D181" s="24"/>
      <c r="E181" s="32"/>
      <c r="F181" s="32"/>
      <c r="G181" s="32"/>
      <c r="H181" s="32"/>
    </row>
    <row r="182" spans="1:14">
      <c r="D182" s="32"/>
      <c r="E182" s="32"/>
      <c r="F182" s="32"/>
      <c r="G182" s="32"/>
      <c r="H182" s="32"/>
    </row>
    <row r="183" spans="1:14" ht="20">
      <c r="A183" s="10" t="s">
        <v>213</v>
      </c>
      <c r="B183" s="11"/>
      <c r="C183" s="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ht="17" outlineLevel="1">
      <c r="D184" s="111">
        <v>2014</v>
      </c>
      <c r="E184" s="111">
        <v>2015</v>
      </c>
      <c r="F184" s="111">
        <v>2016</v>
      </c>
      <c r="G184" s="111">
        <v>2017</v>
      </c>
      <c r="H184" s="112">
        <v>2018</v>
      </c>
      <c r="I184" s="112">
        <v>2019</v>
      </c>
      <c r="J184" s="112">
        <v>2020</v>
      </c>
      <c r="K184" s="112">
        <v>2021</v>
      </c>
      <c r="L184" s="112">
        <v>2022</v>
      </c>
      <c r="M184" s="112">
        <v>2023</v>
      </c>
      <c r="N184" s="112">
        <v>2024</v>
      </c>
    </row>
    <row r="185" spans="1:14" outlineLevel="1">
      <c r="A185" s="16"/>
      <c r="B185" s="16"/>
      <c r="C185" s="44"/>
      <c r="D185" s="49"/>
      <c r="E185" s="49"/>
      <c r="F185" s="49"/>
      <c r="G185" s="49"/>
      <c r="H185" s="49"/>
      <c r="I185" s="16"/>
      <c r="J185" s="16"/>
      <c r="K185" s="16"/>
      <c r="L185" s="16"/>
      <c r="M185" s="16"/>
      <c r="N185" s="16"/>
    </row>
    <row r="186" spans="1:14" outlineLevel="1">
      <c r="A186" s="15" t="s">
        <v>41</v>
      </c>
      <c r="D186" s="32"/>
      <c r="E186" s="32"/>
      <c r="F186" s="32"/>
      <c r="G186" s="32"/>
      <c r="H186" s="32"/>
    </row>
    <row r="187" spans="1:14" outlineLevel="1">
      <c r="A187" s="4" t="s">
        <v>16</v>
      </c>
      <c r="D187" s="47">
        <f>D134</f>
        <v>3546</v>
      </c>
      <c r="E187" s="47">
        <f t="shared" ref="E187:N188" si="79">E134</f>
        <v>3589</v>
      </c>
      <c r="F187" s="47">
        <f t="shared" si="79"/>
        <v>3989</v>
      </c>
      <c r="G187" s="47">
        <f t="shared" si="79"/>
        <v>4010</v>
      </c>
      <c r="H187" s="47">
        <f t="shared" si="79"/>
        <v>2875.0958465753429</v>
      </c>
      <c r="I187" s="47">
        <f t="shared" si="79"/>
        <v>2978.5992970520556</v>
      </c>
      <c r="J187" s="47">
        <f t="shared" si="79"/>
        <v>3085.8288717459295</v>
      </c>
      <c r="K187" s="47">
        <f t="shared" si="79"/>
        <v>3196.9187111287829</v>
      </c>
      <c r="L187" s="47">
        <f t="shared" si="79"/>
        <v>3312.0077847294192</v>
      </c>
      <c r="M187" s="47">
        <f t="shared" si="79"/>
        <v>3431.2400649796787</v>
      </c>
      <c r="N187" s="47">
        <f t="shared" si="79"/>
        <v>3554.7647073189473</v>
      </c>
    </row>
    <row r="188" spans="1:14" outlineLevel="1">
      <c r="A188" s="4" t="s">
        <v>17</v>
      </c>
      <c r="D188" s="47">
        <f>D135</f>
        <v>4507</v>
      </c>
      <c r="E188" s="47">
        <f t="shared" si="79"/>
        <v>5050</v>
      </c>
      <c r="F188" s="47">
        <f t="shared" si="79"/>
        <v>6513</v>
      </c>
      <c r="G188" s="47">
        <f t="shared" si="79"/>
        <v>6267.7169999999996</v>
      </c>
      <c r="H188" s="47">
        <f t="shared" si="79"/>
        <v>7187.7396164383572</v>
      </c>
      <c r="I188" s="47">
        <f t="shared" si="79"/>
        <v>7446.4982426301394</v>
      </c>
      <c r="J188" s="47">
        <f t="shared" si="79"/>
        <v>7328.8435703965824</v>
      </c>
      <c r="K188" s="47">
        <f t="shared" si="79"/>
        <v>7492.7782292080856</v>
      </c>
      <c r="L188" s="47">
        <f t="shared" si="79"/>
        <v>7245.0170290956048</v>
      </c>
      <c r="M188" s="47">
        <f t="shared" si="79"/>
        <v>7505.8376421430467</v>
      </c>
      <c r="N188" s="47">
        <f t="shared" si="79"/>
        <v>7776.0477972601975</v>
      </c>
    </row>
    <row r="189" spans="1:14" outlineLevel="1">
      <c r="A189" s="4" t="s">
        <v>21</v>
      </c>
      <c r="D189" s="47">
        <f>D143</f>
        <v>2761</v>
      </c>
      <c r="E189" s="47">
        <f t="shared" ref="E189:N189" si="80">E143</f>
        <v>2899</v>
      </c>
      <c r="F189" s="47">
        <f t="shared" si="80"/>
        <v>2920</v>
      </c>
      <c r="G189" s="47">
        <f t="shared" si="80"/>
        <v>3544</v>
      </c>
      <c r="H189" s="47">
        <f t="shared" si="80"/>
        <v>2875.0958465753429</v>
      </c>
      <c r="I189" s="47">
        <f t="shared" si="80"/>
        <v>2978.599297052056</v>
      </c>
      <c r="J189" s="47">
        <f t="shared" si="80"/>
        <v>2931.5374281586332</v>
      </c>
      <c r="K189" s="47">
        <f t="shared" si="80"/>
        <v>2997.1112916832344</v>
      </c>
      <c r="L189" s="47">
        <f t="shared" si="80"/>
        <v>2898.0068116382413</v>
      </c>
      <c r="M189" s="47">
        <f t="shared" si="80"/>
        <v>3002.3350568572187</v>
      </c>
      <c r="N189" s="47">
        <f t="shared" si="80"/>
        <v>3110.4191189040789</v>
      </c>
    </row>
    <row r="190" spans="1:14" outlineLevel="1">
      <c r="A190" s="16" t="s">
        <v>42</v>
      </c>
      <c r="B190" s="16"/>
      <c r="C190" s="44"/>
      <c r="D190" s="46">
        <f>D187+D188-D189</f>
        <v>5292</v>
      </c>
      <c r="E190" s="46">
        <f t="shared" ref="E190:N190" si="81">E187+E188-E189</f>
        <v>5740</v>
      </c>
      <c r="F190" s="46">
        <f t="shared" si="81"/>
        <v>7582</v>
      </c>
      <c r="G190" s="46">
        <f t="shared" si="81"/>
        <v>6733.7170000000006</v>
      </c>
      <c r="H190" s="46">
        <f t="shared" si="81"/>
        <v>7187.7396164383572</v>
      </c>
      <c r="I190" s="46">
        <f t="shared" si="81"/>
        <v>7446.4982426301394</v>
      </c>
      <c r="J190" s="46">
        <f t="shared" si="81"/>
        <v>7483.1350139838778</v>
      </c>
      <c r="K190" s="46">
        <f t="shared" si="81"/>
        <v>7692.5856486536331</v>
      </c>
      <c r="L190" s="46">
        <f t="shared" si="81"/>
        <v>7659.0180021867836</v>
      </c>
      <c r="M190" s="46">
        <f t="shared" si="81"/>
        <v>7934.7426502655071</v>
      </c>
      <c r="N190" s="46">
        <f t="shared" si="81"/>
        <v>8220.3933856750664</v>
      </c>
    </row>
    <row r="191" spans="1:14" outlineLevel="1">
      <c r="A191" s="19" t="s">
        <v>220</v>
      </c>
      <c r="B191" s="19"/>
      <c r="C191" s="20"/>
      <c r="D191" s="45"/>
      <c r="E191" s="45"/>
      <c r="F191" s="45"/>
      <c r="G191" s="45"/>
      <c r="H191" s="132">
        <f>-(F76+F75)</f>
        <v>-22.283000000000357</v>
      </c>
    </row>
    <row r="192" spans="1:14" outlineLevel="1">
      <c r="A192" s="16" t="s">
        <v>43</v>
      </c>
      <c r="B192" s="16"/>
      <c r="C192" s="44"/>
      <c r="D192" s="46">
        <f>D190-C190+D191</f>
        <v>5292</v>
      </c>
      <c r="E192" s="46">
        <f t="shared" ref="E192:N192" si="82">E190-D190+E191</f>
        <v>448</v>
      </c>
      <c r="F192" s="46">
        <f t="shared" si="82"/>
        <v>1842</v>
      </c>
      <c r="G192" s="46">
        <f t="shared" si="82"/>
        <v>-848.28299999999945</v>
      </c>
      <c r="H192" s="46">
        <f t="shared" si="82"/>
        <v>431.73961643835628</v>
      </c>
      <c r="I192" s="46">
        <f t="shared" si="82"/>
        <v>258.75862619178224</v>
      </c>
      <c r="J192" s="46">
        <f t="shared" si="82"/>
        <v>36.636771353738368</v>
      </c>
      <c r="K192" s="46">
        <f t="shared" si="82"/>
        <v>209.45063466975535</v>
      </c>
      <c r="L192" s="46">
        <f t="shared" si="82"/>
        <v>-33.56764646684951</v>
      </c>
      <c r="M192" s="46">
        <f t="shared" si="82"/>
        <v>275.72464807872348</v>
      </c>
      <c r="N192" s="46">
        <f t="shared" si="82"/>
        <v>285.65073540955927</v>
      </c>
    </row>
    <row r="193" spans="1:14" outlineLevel="1"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</row>
    <row r="194" spans="1:14" outlineLevel="1">
      <c r="A194" s="15" t="s">
        <v>44</v>
      </c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</row>
    <row r="195" spans="1:14" outlineLevel="1">
      <c r="A195" s="4" t="s">
        <v>45</v>
      </c>
      <c r="D195" s="32">
        <f>D198+D197-D196</f>
        <v>29911</v>
      </c>
      <c r="E195" s="32">
        <f>D198</f>
        <v>27153</v>
      </c>
      <c r="F195" s="32">
        <f t="shared" ref="F195:G195" si="83">E198</f>
        <v>25264</v>
      </c>
      <c r="G195" s="32">
        <f t="shared" si="83"/>
        <v>23487</v>
      </c>
      <c r="H195" s="132">
        <f>L272</f>
        <v>29000</v>
      </c>
      <c r="I195" s="4">
        <f>H198</f>
        <v>32670.083200000001</v>
      </c>
      <c r="J195" s="4">
        <f t="shared" ref="J195:N195" si="84">I198</f>
        <v>36012.724835200002</v>
      </c>
      <c r="K195" s="4">
        <f t="shared" si="84"/>
        <v>38721.118294538115</v>
      </c>
      <c r="L195" s="4">
        <f t="shared" si="84"/>
        <v>41279.925229489992</v>
      </c>
      <c r="M195" s="4">
        <f t="shared" si="84"/>
        <v>43324.04009859707</v>
      </c>
      <c r="N195" s="4">
        <f t="shared" si="84"/>
        <v>44717.885217985262</v>
      </c>
    </row>
    <row r="196" spans="1:14" outlineLevel="1">
      <c r="A196" s="4" t="s">
        <v>46</v>
      </c>
      <c r="D196" s="32">
        <f>-D166</f>
        <v>8800</v>
      </c>
      <c r="E196" s="32">
        <f>-E166</f>
        <v>8800</v>
      </c>
      <c r="F196" s="32">
        <f t="shared" ref="F196:G196" si="85">-F166</f>
        <v>7800</v>
      </c>
      <c r="G196" s="32">
        <f t="shared" si="85"/>
        <v>7800</v>
      </c>
      <c r="H196" s="47">
        <f>H113*H46</f>
        <v>8745.0832000000009</v>
      </c>
      <c r="I196" s="47">
        <f>I113*I46</f>
        <v>9059.9061952000029</v>
      </c>
      <c r="J196" s="47">
        <f t="shared" ref="J196:N196" si="86">J113*J46</f>
        <v>9010.6203054981142</v>
      </c>
      <c r="K196" s="47">
        <f t="shared" si="86"/>
        <v>9335.0026364960468</v>
      </c>
      <c r="L196" s="47">
        <f t="shared" si="86"/>
        <v>9268.1017842678248</v>
      </c>
      <c r="M196" s="47">
        <f t="shared" si="86"/>
        <v>8975.5521366426747</v>
      </c>
      <c r="N196" s="47">
        <f t="shared" si="86"/>
        <v>9298.6720135618125</v>
      </c>
    </row>
    <row r="197" spans="1:14" outlineLevel="1">
      <c r="A197" s="4" t="s">
        <v>47</v>
      </c>
      <c r="C197" s="37"/>
      <c r="D197" s="32">
        <f>D161</f>
        <v>11558</v>
      </c>
      <c r="E197" s="32">
        <f>E161</f>
        <v>10689</v>
      </c>
      <c r="F197" s="32">
        <f t="shared" ref="F197:G197" si="87">F161</f>
        <v>9577</v>
      </c>
      <c r="G197" s="32">
        <f t="shared" si="87"/>
        <v>9577</v>
      </c>
      <c r="H197" s="47">
        <f>H195*H47</f>
        <v>5075</v>
      </c>
      <c r="I197" s="47">
        <f>I195*I47</f>
        <v>5717.2645599999996</v>
      </c>
      <c r="J197" s="47">
        <f t="shared" ref="J197:N197" si="88">J195*J47</f>
        <v>6302.2268461599997</v>
      </c>
      <c r="K197" s="47">
        <f t="shared" si="88"/>
        <v>6776.1957015441694</v>
      </c>
      <c r="L197" s="47">
        <f t="shared" si="88"/>
        <v>7223.9869151607481</v>
      </c>
      <c r="M197" s="47">
        <f t="shared" si="88"/>
        <v>7581.7070172544863</v>
      </c>
      <c r="N197" s="47">
        <f t="shared" si="88"/>
        <v>7825.6299131474207</v>
      </c>
    </row>
    <row r="198" spans="1:14" outlineLevel="1">
      <c r="A198" s="16" t="s">
        <v>48</v>
      </c>
      <c r="B198" s="16"/>
      <c r="C198" s="44"/>
      <c r="D198" s="46">
        <f>D137</f>
        <v>27153</v>
      </c>
      <c r="E198" s="46">
        <f>E195+E196-E197</f>
        <v>25264</v>
      </c>
      <c r="F198" s="46">
        <f t="shared" ref="F198:N198" si="89">F195+F196-F197</f>
        <v>23487</v>
      </c>
      <c r="G198" s="46">
        <f t="shared" si="89"/>
        <v>21710</v>
      </c>
      <c r="H198" s="46">
        <f t="shared" si="89"/>
        <v>32670.083200000001</v>
      </c>
      <c r="I198" s="46">
        <f t="shared" si="89"/>
        <v>36012.724835200002</v>
      </c>
      <c r="J198" s="46">
        <f t="shared" si="89"/>
        <v>38721.118294538115</v>
      </c>
      <c r="K198" s="46">
        <f t="shared" si="89"/>
        <v>41279.925229489992</v>
      </c>
      <c r="L198" s="46">
        <f t="shared" si="89"/>
        <v>43324.04009859707</v>
      </c>
      <c r="M198" s="46">
        <f t="shared" si="89"/>
        <v>44717.885217985262</v>
      </c>
      <c r="N198" s="46">
        <f t="shared" si="89"/>
        <v>46190.927318399656</v>
      </c>
    </row>
    <row r="199" spans="1:14" outlineLevel="1">
      <c r="A199" s="19"/>
      <c r="B199" s="19"/>
      <c r="C199" s="20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</row>
    <row r="200" spans="1:14">
      <c r="A200" s="42"/>
      <c r="B200" s="42"/>
      <c r="C200" s="43"/>
      <c r="D200" s="42"/>
      <c r="E200" s="42"/>
      <c r="F200" s="42"/>
      <c r="G200" s="42"/>
      <c r="H200" s="32"/>
    </row>
    <row r="201" spans="1:14" ht="20">
      <c r="A201" s="10" t="s">
        <v>139</v>
      </c>
      <c r="B201" s="11"/>
      <c r="C201" s="12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 ht="17" outlineLevel="1">
      <c r="D202" s="111">
        <v>2014</v>
      </c>
      <c r="E202" s="111">
        <v>2015</v>
      </c>
      <c r="F202" s="111">
        <v>2016</v>
      </c>
      <c r="G202" s="111">
        <v>2017</v>
      </c>
      <c r="H202" s="112">
        <v>2018</v>
      </c>
      <c r="I202" s="112">
        <v>2019</v>
      </c>
      <c r="J202" s="112">
        <v>2020</v>
      </c>
      <c r="K202" s="112">
        <v>2021</v>
      </c>
      <c r="L202" s="112">
        <v>2022</v>
      </c>
      <c r="M202" s="112">
        <v>2023</v>
      </c>
      <c r="N202" s="112">
        <v>2024</v>
      </c>
    </row>
    <row r="203" spans="1:14" outlineLevel="1">
      <c r="A203" s="16"/>
      <c r="B203" s="16"/>
      <c r="C203" s="44"/>
      <c r="D203" s="49"/>
      <c r="E203" s="49"/>
      <c r="F203" s="49"/>
      <c r="G203" s="49"/>
      <c r="H203" s="49"/>
      <c r="I203" s="16"/>
      <c r="J203" s="16"/>
      <c r="K203" s="16"/>
      <c r="L203" s="16"/>
      <c r="M203" s="16"/>
      <c r="N203" s="16"/>
    </row>
    <row r="204" spans="1:14" outlineLevel="1">
      <c r="A204" s="123" t="s">
        <v>163</v>
      </c>
      <c r="B204" s="116"/>
      <c r="C204" s="119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</row>
    <row r="205" spans="1:14" outlineLevel="1">
      <c r="A205" s="19" t="s">
        <v>32</v>
      </c>
      <c r="B205" s="45"/>
      <c r="C205" s="129"/>
      <c r="D205" s="45"/>
      <c r="E205" s="45"/>
      <c r="F205" s="45"/>
      <c r="G205" s="45"/>
      <c r="H205" s="45">
        <f ca="1">H163</f>
        <v>16610.491533681361</v>
      </c>
      <c r="I205" s="45">
        <f t="shared" ref="I205:N205" ca="1" si="90">I163</f>
        <v>18450.949562087106</v>
      </c>
      <c r="J205" s="45">
        <f t="shared" ca="1" si="90"/>
        <v>22068.782094054346</v>
      </c>
      <c r="K205" s="45">
        <f t="shared" ca="1" si="90"/>
        <v>24065.933227141923</v>
      </c>
      <c r="L205" s="45">
        <f t="shared" ca="1" si="90"/>
        <v>28092.915232262549</v>
      </c>
      <c r="M205" s="45">
        <f t="shared" ca="1" si="90"/>
        <v>30003.089987609557</v>
      </c>
      <c r="N205" s="45">
        <f t="shared" ca="1" si="90"/>
        <v>32749.691033096366</v>
      </c>
    </row>
    <row r="206" spans="1:14" outlineLevel="1">
      <c r="A206" s="19" t="s">
        <v>160</v>
      </c>
      <c r="B206" s="45"/>
      <c r="C206" s="129"/>
      <c r="D206" s="45"/>
      <c r="E206" s="45"/>
      <c r="F206" s="45"/>
      <c r="G206" s="45"/>
      <c r="H206" s="45">
        <f>H168</f>
        <v>-8745.0832000000009</v>
      </c>
      <c r="I206" s="45">
        <f t="shared" ref="I206:N206" si="91">I168</f>
        <v>-9059.9061952000029</v>
      </c>
      <c r="J206" s="45">
        <f t="shared" si="91"/>
        <v>-9010.6203054981142</v>
      </c>
      <c r="K206" s="45">
        <f t="shared" si="91"/>
        <v>-9335.0026364960468</v>
      </c>
      <c r="L206" s="45">
        <f t="shared" si="91"/>
        <v>-9268.1017842678248</v>
      </c>
      <c r="M206" s="45">
        <f t="shared" si="91"/>
        <v>-8975.5521366426747</v>
      </c>
      <c r="N206" s="45">
        <f t="shared" si="91"/>
        <v>-9298.6720135618125</v>
      </c>
    </row>
    <row r="207" spans="1:14" outlineLevel="1">
      <c r="A207" s="19" t="s">
        <v>221</v>
      </c>
      <c r="B207" s="45"/>
      <c r="C207" s="129"/>
      <c r="D207" s="45"/>
      <c r="E207" s="45"/>
      <c r="F207" s="45"/>
      <c r="G207" s="45"/>
      <c r="H207" s="45">
        <f>-H254</f>
        <v>-12000</v>
      </c>
      <c r="I207" s="45">
        <f t="shared" ref="I207:N207" ca="1" si="92">-I254</f>
        <v>-12000</v>
      </c>
      <c r="J207" s="45">
        <f t="shared" ca="1" si="92"/>
        <v>-12000</v>
      </c>
      <c r="K207" s="45">
        <f t="shared" ca="1" si="92"/>
        <v>-12000</v>
      </c>
      <c r="L207" s="45">
        <f t="shared" ca="1" si="92"/>
        <v>-39000</v>
      </c>
      <c r="M207" s="45">
        <f t="shared" ca="1" si="92"/>
        <v>-33000</v>
      </c>
      <c r="N207" s="45">
        <f t="shared" ca="1" si="92"/>
        <v>-15000</v>
      </c>
    </row>
    <row r="208" spans="1:14" outlineLevel="1">
      <c r="A208" s="19" t="s">
        <v>162</v>
      </c>
      <c r="B208" s="45"/>
      <c r="C208" s="129"/>
      <c r="D208" s="45"/>
      <c r="E208" s="45"/>
      <c r="F208" s="45"/>
      <c r="G208" s="45"/>
      <c r="H208" s="158"/>
      <c r="I208" s="158"/>
      <c r="J208" s="158"/>
      <c r="K208" s="158"/>
      <c r="L208" s="158"/>
      <c r="M208" s="158"/>
      <c r="N208" s="158"/>
    </row>
    <row r="209" spans="1:14" outlineLevel="1">
      <c r="A209" s="17" t="s">
        <v>164</v>
      </c>
      <c r="B209" s="30"/>
      <c r="C209" s="131"/>
      <c r="D209" s="30"/>
      <c r="E209" s="30"/>
      <c r="F209" s="30"/>
      <c r="G209" s="30"/>
      <c r="H209" s="30">
        <f ca="1">SUM(H205:H208)</f>
        <v>-4134.5916663186399</v>
      </c>
      <c r="I209" s="30">
        <f t="shared" ref="I209:N209" ca="1" si="93">SUM(I205:I208)</f>
        <v>-2608.9566331128972</v>
      </c>
      <c r="J209" s="30">
        <f t="shared" ca="1" si="93"/>
        <v>1058.1617885562318</v>
      </c>
      <c r="K209" s="30">
        <f t="shared" ca="1" si="93"/>
        <v>2730.9305906458758</v>
      </c>
      <c r="L209" s="30">
        <f t="shared" ca="1" si="93"/>
        <v>-20175.186552005274</v>
      </c>
      <c r="M209" s="30">
        <f t="shared" ca="1" si="93"/>
        <v>-11972.462149033119</v>
      </c>
      <c r="N209" s="30">
        <f t="shared" ca="1" si="93"/>
        <v>8451.0190195345531</v>
      </c>
    </row>
    <row r="210" spans="1:14" outlineLevel="1">
      <c r="A210" s="22"/>
      <c r="B210" s="25"/>
      <c r="C210" s="130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</row>
    <row r="211" spans="1:14" outlineLevel="1">
      <c r="A211" s="19" t="s">
        <v>39</v>
      </c>
      <c r="B211" s="45"/>
      <c r="C211" s="129"/>
      <c r="D211" s="45"/>
      <c r="E211" s="45"/>
      <c r="F211" s="45"/>
      <c r="G211" s="45"/>
      <c r="H211" s="45">
        <f ca="1">H179</f>
        <v>16000.000000000007</v>
      </c>
      <c r="I211" s="45">
        <f t="shared" ref="I211:N211" ca="1" si="94">I179</f>
        <v>16000</v>
      </c>
      <c r="J211" s="45">
        <f t="shared" ca="1" si="94"/>
        <v>16000</v>
      </c>
      <c r="K211" s="45">
        <f t="shared" ca="1" si="94"/>
        <v>16000</v>
      </c>
      <c r="L211" s="45">
        <f t="shared" ca="1" si="94"/>
        <v>16000</v>
      </c>
      <c r="M211" s="45">
        <f t="shared" ca="1" si="94"/>
        <v>16000</v>
      </c>
      <c r="N211" s="45">
        <f t="shared" ca="1" si="94"/>
        <v>16000</v>
      </c>
    </row>
    <row r="212" spans="1:14" outlineLevel="1">
      <c r="A212" s="19" t="s">
        <v>165</v>
      </c>
      <c r="B212" s="45"/>
      <c r="C212" s="129"/>
      <c r="D212" s="45"/>
      <c r="E212" s="45"/>
      <c r="F212" s="45"/>
      <c r="G212" s="45"/>
      <c r="H212" s="45">
        <f ca="1">H209</f>
        <v>-4134.5916663186399</v>
      </c>
      <c r="I212" s="45">
        <f t="shared" ref="I212:N212" ca="1" si="95">I209</f>
        <v>-2608.9566331128972</v>
      </c>
      <c r="J212" s="45">
        <f t="shared" ca="1" si="95"/>
        <v>1058.1617885562318</v>
      </c>
      <c r="K212" s="45">
        <f t="shared" ca="1" si="95"/>
        <v>2730.9305906458758</v>
      </c>
      <c r="L212" s="45">
        <f t="shared" ca="1" si="95"/>
        <v>-20175.186552005274</v>
      </c>
      <c r="M212" s="45">
        <f t="shared" ca="1" si="95"/>
        <v>-11972.462149033119</v>
      </c>
      <c r="N212" s="45">
        <f t="shared" ca="1" si="95"/>
        <v>8451.0190195345531</v>
      </c>
    </row>
    <row r="213" spans="1:14" outlineLevel="1">
      <c r="A213" s="19" t="s">
        <v>166</v>
      </c>
      <c r="B213" s="45"/>
      <c r="C213" s="129"/>
      <c r="D213" s="45"/>
      <c r="E213" s="45"/>
      <c r="F213" s="45"/>
      <c r="G213" s="45"/>
      <c r="H213" s="45">
        <f>-$D$23</f>
        <v>-16000</v>
      </c>
      <c r="I213" s="45">
        <f t="shared" ref="I213:N213" si="96">-$D$23</f>
        <v>-16000</v>
      </c>
      <c r="J213" s="45">
        <f t="shared" si="96"/>
        <v>-16000</v>
      </c>
      <c r="K213" s="45">
        <f t="shared" si="96"/>
        <v>-16000</v>
      </c>
      <c r="L213" s="45">
        <f t="shared" si="96"/>
        <v>-16000</v>
      </c>
      <c r="M213" s="45">
        <f t="shared" si="96"/>
        <v>-16000</v>
      </c>
      <c r="N213" s="45">
        <f t="shared" si="96"/>
        <v>-16000</v>
      </c>
    </row>
    <row r="214" spans="1:14" outlineLevel="1">
      <c r="A214" s="17" t="s">
        <v>167</v>
      </c>
      <c r="B214" s="30"/>
      <c r="C214" s="131"/>
      <c r="D214" s="30"/>
      <c r="E214" s="30"/>
      <c r="F214" s="30"/>
      <c r="G214" s="30"/>
      <c r="H214" s="30">
        <f ca="1">SUM(H211:H213)</f>
        <v>-4134.5916663186326</v>
      </c>
      <c r="I214" s="30">
        <f t="shared" ref="I214:N214" ca="1" si="97">SUM(I211:I213)</f>
        <v>-2608.9566331128972</v>
      </c>
      <c r="J214" s="30">
        <f t="shared" ca="1" si="97"/>
        <v>1058.16178855623</v>
      </c>
      <c r="K214" s="30">
        <f t="shared" ca="1" si="97"/>
        <v>2730.9305906458758</v>
      </c>
      <c r="L214" s="30">
        <f t="shared" ca="1" si="97"/>
        <v>-20175.186552005274</v>
      </c>
      <c r="M214" s="30">
        <f t="shared" ca="1" si="97"/>
        <v>-11972.462149033119</v>
      </c>
      <c r="N214" s="30">
        <f t="shared" ca="1" si="97"/>
        <v>8451.0190195345531</v>
      </c>
    </row>
    <row r="215" spans="1:14" outlineLevel="1">
      <c r="A215" s="19" t="s">
        <v>168</v>
      </c>
      <c r="B215" s="45"/>
      <c r="C215" s="129"/>
      <c r="D215" s="45"/>
      <c r="E215" s="45"/>
      <c r="F215" s="45"/>
      <c r="G215" s="45"/>
      <c r="H215" s="45">
        <f ca="1">-H223</f>
        <v>0</v>
      </c>
      <c r="I215" s="45">
        <f t="shared" ref="I215:N215" ca="1" si="98">-I223</f>
        <v>0</v>
      </c>
      <c r="J215" s="45">
        <f t="shared" ca="1" si="98"/>
        <v>-1058.16178855623</v>
      </c>
      <c r="K215" s="45">
        <f t="shared" ca="1" si="98"/>
        <v>-2730.9305906458758</v>
      </c>
      <c r="L215" s="45">
        <f t="shared" ca="1" si="98"/>
        <v>0</v>
      </c>
      <c r="M215" s="45">
        <f t="shared" ca="1" si="98"/>
        <v>0</v>
      </c>
      <c r="N215" s="45">
        <f t="shared" ca="1" si="98"/>
        <v>-8451.0190195345531</v>
      </c>
    </row>
    <row r="216" spans="1:14" outlineLevel="1">
      <c r="A216" s="17" t="s">
        <v>169</v>
      </c>
      <c r="B216" s="30"/>
      <c r="C216" s="131"/>
      <c r="D216" s="30"/>
      <c r="E216" s="30"/>
      <c r="F216" s="30"/>
      <c r="G216" s="30"/>
      <c r="H216" s="30">
        <f ca="1">SUM(H214:H215)</f>
        <v>-4134.5916663186326</v>
      </c>
      <c r="I216" s="30">
        <f t="shared" ref="I216:N216" ca="1" si="99">SUM(I214:I215)</f>
        <v>-2608.9566331128972</v>
      </c>
      <c r="J216" s="30">
        <f t="shared" ca="1" si="99"/>
        <v>0</v>
      </c>
      <c r="K216" s="30">
        <f t="shared" ca="1" si="99"/>
        <v>0</v>
      </c>
      <c r="L216" s="30">
        <f t="shared" ca="1" si="99"/>
        <v>-20175.186552005274</v>
      </c>
      <c r="M216" s="30">
        <f t="shared" ca="1" si="99"/>
        <v>-11972.462149033119</v>
      </c>
      <c r="N216" s="30">
        <f t="shared" ca="1" si="99"/>
        <v>0</v>
      </c>
    </row>
    <row r="217" spans="1:14" outlineLevel="1">
      <c r="A217" s="22"/>
      <c r="B217" s="25"/>
      <c r="C217" s="130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</row>
    <row r="218" spans="1:14" outlineLevel="1">
      <c r="A218" s="19" t="s">
        <v>180</v>
      </c>
      <c r="B218" s="25"/>
      <c r="C218" s="130"/>
      <c r="D218" s="25"/>
      <c r="E218" s="25"/>
      <c r="F218" s="25"/>
      <c r="G218" s="25"/>
      <c r="H218" s="45">
        <f ca="1">H255</f>
        <v>0</v>
      </c>
      <c r="I218" s="45">
        <f t="shared" ref="I218:N218" ca="1" si="100">I255</f>
        <v>0</v>
      </c>
      <c r="J218" s="45">
        <f t="shared" ca="1" si="100"/>
        <v>0</v>
      </c>
      <c r="K218" s="45">
        <f t="shared" ca="1" si="100"/>
        <v>0</v>
      </c>
      <c r="L218" s="45">
        <f t="shared" ca="1" si="100"/>
        <v>0</v>
      </c>
      <c r="M218" s="45">
        <f t="shared" ca="1" si="100"/>
        <v>0</v>
      </c>
      <c r="N218" s="45">
        <f t="shared" ca="1" si="100"/>
        <v>0</v>
      </c>
    </row>
    <row r="219" spans="1:14" outlineLevel="1">
      <c r="A219" s="19"/>
      <c r="B219" s="45"/>
      <c r="C219" s="129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</row>
    <row r="220" spans="1:14" s="33" customFormat="1" outlineLevel="1">
      <c r="A220" s="123" t="str">
        <f>A53</f>
        <v>Line of Credit</v>
      </c>
      <c r="B220" s="116"/>
      <c r="C220" s="119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</row>
    <row r="221" spans="1:14" s="33" customFormat="1" outlineLevel="1">
      <c r="A221" s="13" t="s">
        <v>93</v>
      </c>
      <c r="B221" s="13"/>
      <c r="C221" s="120"/>
      <c r="D221" s="13"/>
      <c r="E221" s="13"/>
      <c r="F221" s="13"/>
      <c r="G221" s="13"/>
      <c r="H221" s="13">
        <f>G224</f>
        <v>9000</v>
      </c>
      <c r="I221" s="13">
        <f t="shared" ref="I221:N221" ca="1" si="101">H224</f>
        <v>13134.591666318633</v>
      </c>
      <c r="J221" s="13">
        <f t="shared" ca="1" si="101"/>
        <v>15743.548299431535</v>
      </c>
      <c r="K221" s="13">
        <f t="shared" ca="1" si="101"/>
        <v>14685.386510875305</v>
      </c>
      <c r="L221" s="13">
        <f t="shared" ca="1" si="101"/>
        <v>11954.455920229426</v>
      </c>
      <c r="M221" s="13">
        <f t="shared" ca="1" si="101"/>
        <v>32129.642472234707</v>
      </c>
      <c r="N221" s="13">
        <f t="shared" ca="1" si="101"/>
        <v>44102.104621267827</v>
      </c>
    </row>
    <row r="222" spans="1:14" s="33" customFormat="1" outlineLevel="1">
      <c r="A222" s="13" t="s">
        <v>140</v>
      </c>
      <c r="B222" s="13"/>
      <c r="C222" s="120"/>
      <c r="D222" s="13"/>
      <c r="E222" s="13"/>
      <c r="F222" s="13"/>
      <c r="G222" s="13"/>
      <c r="H222" s="13">
        <f ca="1">IF((H179+H163+H168+H172+H173+H174+H175)&lt;=$D$23,-(H179+H163+H168+H172+H173+H174+H175)+$D$23,0)</f>
        <v>4134.5916663186326</v>
      </c>
      <c r="I222" s="13">
        <f ca="1">IF((I179+I163+I168+I172+I173+I174+I175)&lt;=$D$23,-(I179+I163+I168+I172+I173+I174+I175)+$D$23,0)</f>
        <v>2608.9566331129026</v>
      </c>
      <c r="J222" s="13">
        <f t="shared" ref="J222:N222" ca="1" si="102">IF((J179+J163+J168+J172+J173+J174+J175)&lt;=$D$23,-(J179+J163+J168+J172+J173+J174+J175)+$D$23,0)</f>
        <v>0</v>
      </c>
      <c r="K222" s="13">
        <f t="shared" ca="1" si="102"/>
        <v>-3.637978807091713E-12</v>
      </c>
      <c r="L222" s="13">
        <f t="shared" ca="1" si="102"/>
        <v>20175.186552005282</v>
      </c>
      <c r="M222" s="13">
        <f t="shared" ca="1" si="102"/>
        <v>11972.462149033119</v>
      </c>
      <c r="N222" s="13">
        <f t="shared" ca="1" si="102"/>
        <v>3.637978807091713E-12</v>
      </c>
    </row>
    <row r="223" spans="1:14" s="33" customFormat="1" outlineLevel="1">
      <c r="A223" s="13" t="s">
        <v>141</v>
      </c>
      <c r="B223" s="13"/>
      <c r="C223" s="120"/>
      <c r="D223" s="13"/>
      <c r="E223" s="13"/>
      <c r="F223" s="13"/>
      <c r="G223" s="13"/>
      <c r="H223" s="13">
        <f ca="1">IF(H214&gt;0,IF(H221&gt;0,MIN(H221,H214),0),0)</f>
        <v>0</v>
      </c>
      <c r="I223" s="13">
        <f ca="1">IF(I214&gt;0,IF(I221&gt;0,MIN(I221,I214),0),0)</f>
        <v>0</v>
      </c>
      <c r="J223" s="13">
        <f t="shared" ref="J223:N223" ca="1" si="103">IF(J214&gt;0,IF(J221&gt;0,MIN(J221,J214),0),0)</f>
        <v>1058.16178855623</v>
      </c>
      <c r="K223" s="13">
        <f t="shared" ca="1" si="103"/>
        <v>2730.9305906458758</v>
      </c>
      <c r="L223" s="13">
        <f t="shared" ca="1" si="103"/>
        <v>0</v>
      </c>
      <c r="M223" s="13">
        <f t="shared" ca="1" si="103"/>
        <v>0</v>
      </c>
      <c r="N223" s="13">
        <f t="shared" ca="1" si="103"/>
        <v>8451.0190195345531</v>
      </c>
    </row>
    <row r="224" spans="1:14" s="33" customFormat="1" outlineLevel="1">
      <c r="A224" s="121" t="s">
        <v>94</v>
      </c>
      <c r="B224" s="121"/>
      <c r="C224" s="122"/>
      <c r="D224" s="121"/>
      <c r="E224" s="121"/>
      <c r="F224" s="121"/>
      <c r="G224" s="121">
        <f>C53</f>
        <v>9000</v>
      </c>
      <c r="H224" s="121">
        <f ca="1">H221+H222-H223</f>
        <v>13134.591666318633</v>
      </c>
      <c r="I224" s="121">
        <f t="shared" ref="I224:N224" ca="1" si="104">I221+I222-I223</f>
        <v>15743.548299431535</v>
      </c>
      <c r="J224" s="121">
        <f t="shared" ca="1" si="104"/>
        <v>14685.386510875305</v>
      </c>
      <c r="K224" s="121">
        <f t="shared" ca="1" si="104"/>
        <v>11954.455920229426</v>
      </c>
      <c r="L224" s="121">
        <f t="shared" ca="1" si="104"/>
        <v>32129.642472234707</v>
      </c>
      <c r="M224" s="121">
        <f t="shared" ca="1" si="104"/>
        <v>44102.104621267827</v>
      </c>
      <c r="N224" s="121">
        <f t="shared" ca="1" si="104"/>
        <v>35651.085601733284</v>
      </c>
    </row>
    <row r="225" spans="1:14" s="33" customFormat="1" outlineLevel="1">
      <c r="A225" s="13"/>
      <c r="B225" s="13"/>
      <c r="C225" s="120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</row>
    <row r="226" spans="1:14" s="33" customFormat="1" outlineLevel="1">
      <c r="A226" s="121" t="s">
        <v>142</v>
      </c>
      <c r="B226" s="121"/>
      <c r="C226" s="122"/>
      <c r="D226" s="121"/>
      <c r="E226" s="121"/>
      <c r="F226" s="121"/>
      <c r="G226" s="121"/>
      <c r="H226" s="121">
        <f ca="1">AVERAGE(G224:H224)*$F$53</f>
        <v>276.68239582898292</v>
      </c>
      <c r="I226" s="121">
        <f t="shared" ref="I226:N226" ca="1" si="105">AVERAGE(H224:I224)*$F$53</f>
        <v>360.97674957187712</v>
      </c>
      <c r="J226" s="121">
        <f t="shared" ca="1" si="105"/>
        <v>380.36168512883552</v>
      </c>
      <c r="K226" s="121">
        <f t="shared" ca="1" si="105"/>
        <v>332.99803038880918</v>
      </c>
      <c r="L226" s="121">
        <f t="shared" ca="1" si="105"/>
        <v>551.05122990580173</v>
      </c>
      <c r="M226" s="121">
        <f t="shared" ca="1" si="105"/>
        <v>952.8968386687817</v>
      </c>
      <c r="N226" s="121">
        <f t="shared" ca="1" si="105"/>
        <v>996.914877787514</v>
      </c>
    </row>
    <row r="227" spans="1:14" s="33" customFormat="1" outlineLevel="1">
      <c r="A227" s="28"/>
      <c r="C227" s="109"/>
      <c r="D227" s="14"/>
      <c r="E227" s="14"/>
      <c r="F227" s="14"/>
      <c r="G227" s="14"/>
      <c r="H227" s="14"/>
    </row>
    <row r="228" spans="1:14" s="33" customFormat="1" outlineLevel="1">
      <c r="A228" s="123" t="str">
        <f>A54</f>
        <v>Term Loan 1</v>
      </c>
      <c r="B228" s="116"/>
      <c r="C228" s="119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</row>
    <row r="229" spans="1:14" s="33" customFormat="1" outlineLevel="1">
      <c r="A229" s="13" t="s">
        <v>93</v>
      </c>
      <c r="B229" s="13"/>
      <c r="C229" s="120"/>
      <c r="D229" s="13"/>
      <c r="E229" s="13"/>
      <c r="F229" s="13"/>
      <c r="G229" s="13"/>
      <c r="H229" s="13">
        <f>G232</f>
        <v>54000</v>
      </c>
      <c r="I229" s="13">
        <f t="shared" ref="I229:N229" ca="1" si="106">H232</f>
        <v>48600</v>
      </c>
      <c r="J229" s="13">
        <f t="shared" ca="1" si="106"/>
        <v>43200</v>
      </c>
      <c r="K229" s="13">
        <f t="shared" ca="1" si="106"/>
        <v>37800</v>
      </c>
      <c r="L229" s="13">
        <f t="shared" ca="1" si="106"/>
        <v>32400</v>
      </c>
      <c r="M229" s="13">
        <f t="shared" ca="1" si="106"/>
        <v>0</v>
      </c>
      <c r="N229" s="13">
        <f t="shared" ca="1" si="106"/>
        <v>0</v>
      </c>
    </row>
    <row r="230" spans="1:14" s="33" customFormat="1" outlineLevel="1">
      <c r="A230" s="13" t="s">
        <v>144</v>
      </c>
      <c r="B230" s="13"/>
      <c r="C230" s="120"/>
      <c r="D230" s="13"/>
      <c r="E230" s="13"/>
      <c r="F230" s="13"/>
      <c r="G230" s="13"/>
      <c r="H230" s="13">
        <f>MIN($G$232*H54,H229)</f>
        <v>5400</v>
      </c>
      <c r="I230" s="13">
        <f t="shared" ref="I230:N230" ca="1" si="107">MIN($G$232*I54,I229)</f>
        <v>5400</v>
      </c>
      <c r="J230" s="13">
        <f t="shared" ca="1" si="107"/>
        <v>5400</v>
      </c>
      <c r="K230" s="13">
        <f t="shared" ca="1" si="107"/>
        <v>5400</v>
      </c>
      <c r="L230" s="13">
        <f t="shared" ca="1" si="107"/>
        <v>32400</v>
      </c>
      <c r="M230" s="13">
        <f t="shared" ca="1" si="107"/>
        <v>0</v>
      </c>
      <c r="N230" s="13">
        <f t="shared" ca="1" si="107"/>
        <v>0</v>
      </c>
    </row>
    <row r="231" spans="1:14" s="33" customFormat="1" outlineLevel="1">
      <c r="A231" s="13" t="s">
        <v>145</v>
      </c>
      <c r="B231" s="13"/>
      <c r="C231" s="137"/>
      <c r="D231" s="13"/>
      <c r="E231" s="13"/>
      <c r="F231" s="13"/>
      <c r="G231" s="13"/>
      <c r="H231" s="13">
        <f ca="1">IF(H$216&gt;0,IF(H229-H230&gt;0,MIN(H$216*$C$231,H229-H230),0),0)</f>
        <v>0</v>
      </c>
      <c r="I231" s="13">
        <f t="shared" ref="I231:N231" ca="1" si="108">IF(I$216&gt;0,IF(I229-I230&gt;0,MIN(I$216*$C$231,I229-I230),0),0)</f>
        <v>0</v>
      </c>
      <c r="J231" s="13">
        <f t="shared" ca="1" si="108"/>
        <v>0</v>
      </c>
      <c r="K231" s="13">
        <f t="shared" ca="1" si="108"/>
        <v>0</v>
      </c>
      <c r="L231" s="13">
        <f t="shared" ca="1" si="108"/>
        <v>0</v>
      </c>
      <c r="M231" s="13">
        <f t="shared" ca="1" si="108"/>
        <v>0</v>
      </c>
      <c r="N231" s="13">
        <f t="shared" ca="1" si="108"/>
        <v>0</v>
      </c>
    </row>
    <row r="232" spans="1:14" s="33" customFormat="1" outlineLevel="1">
      <c r="A232" s="121" t="s">
        <v>94</v>
      </c>
      <c r="B232" s="121"/>
      <c r="C232" s="122"/>
      <c r="D232" s="121"/>
      <c r="E232" s="121"/>
      <c r="F232" s="121"/>
      <c r="G232" s="121">
        <f>C54</f>
        <v>54000</v>
      </c>
      <c r="H232" s="121">
        <f ca="1">H229-H230-H231</f>
        <v>48600</v>
      </c>
      <c r="I232" s="121">
        <f t="shared" ref="I232:N232" ca="1" si="109">I229-I230-I231</f>
        <v>43200</v>
      </c>
      <c r="J232" s="121">
        <f t="shared" ca="1" si="109"/>
        <v>37800</v>
      </c>
      <c r="K232" s="121">
        <f t="shared" ca="1" si="109"/>
        <v>32400</v>
      </c>
      <c r="L232" s="121">
        <f t="shared" ca="1" si="109"/>
        <v>0</v>
      </c>
      <c r="M232" s="121">
        <f t="shared" ca="1" si="109"/>
        <v>0</v>
      </c>
      <c r="N232" s="121">
        <f t="shared" ca="1" si="109"/>
        <v>0</v>
      </c>
    </row>
    <row r="233" spans="1:14" s="33" customFormat="1" outlineLevel="1">
      <c r="A233" s="13"/>
      <c r="B233" s="13"/>
      <c r="C233" s="120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</row>
    <row r="234" spans="1:14" s="33" customFormat="1" outlineLevel="1">
      <c r="A234" s="13" t="s">
        <v>146</v>
      </c>
      <c r="B234" s="13"/>
      <c r="C234" s="120"/>
      <c r="D234" s="13"/>
      <c r="E234" s="13"/>
      <c r="F234" s="13"/>
      <c r="G234" s="13"/>
      <c r="H234" s="13">
        <f ca="1">AVERAGE(G232:H232)*$F$54</f>
        <v>2565</v>
      </c>
      <c r="I234" s="13">
        <f t="shared" ref="I234:N234" ca="1" si="110">AVERAGE(H232:I232)*$F$54</f>
        <v>2295</v>
      </c>
      <c r="J234" s="13">
        <f t="shared" ca="1" si="110"/>
        <v>2025</v>
      </c>
      <c r="K234" s="13">
        <f t="shared" ca="1" si="110"/>
        <v>1755</v>
      </c>
      <c r="L234" s="13">
        <f t="shared" ca="1" si="110"/>
        <v>810</v>
      </c>
      <c r="M234" s="13">
        <f t="shared" ca="1" si="110"/>
        <v>0</v>
      </c>
      <c r="N234" s="13">
        <f t="shared" ca="1" si="110"/>
        <v>0</v>
      </c>
    </row>
    <row r="235" spans="1:14" s="33" customFormat="1" outlineLevel="1">
      <c r="A235" s="28"/>
      <c r="C235" s="109"/>
      <c r="D235" s="14"/>
      <c r="E235" s="14"/>
      <c r="F235" s="14"/>
      <c r="G235" s="14"/>
      <c r="H235" s="14"/>
    </row>
    <row r="236" spans="1:14" s="33" customFormat="1" outlineLevel="1">
      <c r="A236" s="123" t="str">
        <f>A55</f>
        <v>Term Loan 2</v>
      </c>
      <c r="B236" s="116"/>
      <c r="C236" s="119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</row>
    <row r="237" spans="1:14" s="33" customFormat="1" outlineLevel="1">
      <c r="A237" s="13" t="s">
        <v>93</v>
      </c>
      <c r="B237" s="13"/>
      <c r="C237" s="120"/>
      <c r="D237" s="13"/>
      <c r="E237" s="13"/>
      <c r="F237" s="13"/>
      <c r="G237" s="13"/>
      <c r="H237" s="13">
        <f>G240</f>
        <v>66000</v>
      </c>
      <c r="I237" s="13">
        <f t="shared" ref="I237:N237" ca="1" si="111">H240</f>
        <v>59400</v>
      </c>
      <c r="J237" s="13">
        <f t="shared" ca="1" si="111"/>
        <v>52800</v>
      </c>
      <c r="K237" s="13">
        <f t="shared" ca="1" si="111"/>
        <v>46200</v>
      </c>
      <c r="L237" s="13">
        <f t="shared" ca="1" si="111"/>
        <v>39600</v>
      </c>
      <c r="M237" s="13">
        <f t="shared" ca="1" si="111"/>
        <v>33000</v>
      </c>
      <c r="N237" s="13">
        <f t="shared" ca="1" si="111"/>
        <v>0</v>
      </c>
    </row>
    <row r="238" spans="1:14" s="33" customFormat="1" outlineLevel="1">
      <c r="A238" s="13" t="s">
        <v>144</v>
      </c>
      <c r="B238" s="13"/>
      <c r="C238" s="120"/>
      <c r="D238" s="13"/>
      <c r="E238" s="13"/>
      <c r="F238" s="13"/>
      <c r="G238" s="13"/>
      <c r="H238" s="13">
        <f>MIN($G$240*H55,H237)</f>
        <v>6600</v>
      </c>
      <c r="I238" s="13">
        <f t="shared" ref="I238:N238" ca="1" si="112">MIN($G$240*I55,I237)</f>
        <v>6600</v>
      </c>
      <c r="J238" s="13">
        <f t="shared" ca="1" si="112"/>
        <v>6600</v>
      </c>
      <c r="K238" s="13">
        <f t="shared" ca="1" si="112"/>
        <v>6600</v>
      </c>
      <c r="L238" s="13">
        <f t="shared" ca="1" si="112"/>
        <v>6600</v>
      </c>
      <c r="M238" s="13">
        <f t="shared" ca="1" si="112"/>
        <v>33000</v>
      </c>
      <c r="N238" s="13">
        <f t="shared" ca="1" si="112"/>
        <v>0</v>
      </c>
    </row>
    <row r="239" spans="1:14" s="33" customFormat="1" outlineLevel="1">
      <c r="A239" s="13" t="s">
        <v>145</v>
      </c>
      <c r="B239" s="13"/>
      <c r="C239" s="137">
        <f>$G$55</f>
        <v>0.5</v>
      </c>
      <c r="D239" s="13"/>
      <c r="E239" s="13"/>
      <c r="F239" s="13"/>
      <c r="G239" s="13"/>
      <c r="H239" s="13">
        <f ca="1">IF(H$216&gt;0,IF(H237-H238&gt;0,MIN(H$216*$C$239,H237-H238),0),0)</f>
        <v>0</v>
      </c>
      <c r="I239" s="13">
        <f t="shared" ref="I239:N239" ca="1" si="113">IF(I$216&gt;0,IF(I237-I238&gt;0,MIN(I$216*$C$239,I237-I238),0),0)</f>
        <v>0</v>
      </c>
      <c r="J239" s="13">
        <f t="shared" ca="1" si="113"/>
        <v>0</v>
      </c>
      <c r="K239" s="13">
        <f t="shared" ca="1" si="113"/>
        <v>0</v>
      </c>
      <c r="L239" s="13">
        <f t="shared" ca="1" si="113"/>
        <v>0</v>
      </c>
      <c r="M239" s="13">
        <f t="shared" ca="1" si="113"/>
        <v>0</v>
      </c>
      <c r="N239" s="13">
        <f t="shared" ca="1" si="113"/>
        <v>0</v>
      </c>
    </row>
    <row r="240" spans="1:14" s="33" customFormat="1" outlineLevel="1">
      <c r="A240" s="121" t="s">
        <v>94</v>
      </c>
      <c r="B240" s="121"/>
      <c r="C240" s="122"/>
      <c r="D240" s="121"/>
      <c r="E240" s="121"/>
      <c r="F240" s="121"/>
      <c r="G240" s="121">
        <f>C55</f>
        <v>66000</v>
      </c>
      <c r="H240" s="121">
        <f ca="1">H237-H238-H239</f>
        <v>59400</v>
      </c>
      <c r="I240" s="121">
        <f t="shared" ref="I240:N240" ca="1" si="114">I237-I238-I239</f>
        <v>52800</v>
      </c>
      <c r="J240" s="121">
        <f t="shared" ca="1" si="114"/>
        <v>46200</v>
      </c>
      <c r="K240" s="121">
        <f t="shared" ca="1" si="114"/>
        <v>39600</v>
      </c>
      <c r="L240" s="121">
        <f t="shared" ca="1" si="114"/>
        <v>33000</v>
      </c>
      <c r="M240" s="121">
        <f t="shared" ca="1" si="114"/>
        <v>0</v>
      </c>
      <c r="N240" s="121">
        <f t="shared" ca="1" si="114"/>
        <v>0</v>
      </c>
    </row>
    <row r="241" spans="1:14" s="33" customFormat="1" outlineLevel="1">
      <c r="A241" s="13"/>
      <c r="B241" s="13"/>
      <c r="C241" s="120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</row>
    <row r="242" spans="1:14" s="33" customFormat="1" outlineLevel="1">
      <c r="A242" s="13" t="s">
        <v>146</v>
      </c>
      <c r="B242" s="13"/>
      <c r="C242" s="120"/>
      <c r="D242" s="13"/>
      <c r="E242" s="13"/>
      <c r="F242" s="13"/>
      <c r="G242" s="13"/>
      <c r="H242" s="13">
        <f ca="1">AVERAGE(G240:H240)*$F$55</f>
        <v>4702.5</v>
      </c>
      <c r="I242" s="13">
        <f t="shared" ref="I242:N242" ca="1" si="115">AVERAGE(H240:I240)*$F$55</f>
        <v>4207.5</v>
      </c>
      <c r="J242" s="13">
        <f t="shared" ca="1" si="115"/>
        <v>3712.5</v>
      </c>
      <c r="K242" s="13">
        <f t="shared" ca="1" si="115"/>
        <v>3217.5</v>
      </c>
      <c r="L242" s="13">
        <f t="shared" ca="1" si="115"/>
        <v>2722.5</v>
      </c>
      <c r="M242" s="13">
        <f t="shared" ca="1" si="115"/>
        <v>1237.5</v>
      </c>
      <c r="N242" s="13">
        <f t="shared" ca="1" si="115"/>
        <v>0</v>
      </c>
    </row>
    <row r="243" spans="1:14" s="33" customFormat="1" outlineLevel="1">
      <c r="A243" s="28"/>
      <c r="C243" s="109"/>
      <c r="D243" s="14"/>
      <c r="E243" s="14"/>
      <c r="F243" s="14"/>
      <c r="G243" s="14"/>
      <c r="H243" s="14"/>
    </row>
    <row r="244" spans="1:14" s="33" customFormat="1" outlineLevel="1">
      <c r="A244" s="123" t="str">
        <f>A67</f>
        <v>Sub Debt 1</v>
      </c>
      <c r="B244" s="116"/>
      <c r="C244" s="119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</row>
    <row r="245" spans="1:14" s="33" customFormat="1" outlineLevel="1">
      <c r="A245" s="13" t="s">
        <v>93</v>
      </c>
      <c r="B245" s="13"/>
      <c r="C245" s="120"/>
      <c r="D245" s="13"/>
      <c r="E245" s="13"/>
      <c r="F245" s="13"/>
      <c r="G245" s="13"/>
      <c r="H245" s="13">
        <f>G248</f>
        <v>15000</v>
      </c>
      <c r="I245" s="13">
        <f t="shared" ref="I245:N245" ca="1" si="116">H248</f>
        <v>15000</v>
      </c>
      <c r="J245" s="13">
        <f t="shared" ca="1" si="116"/>
        <v>15000</v>
      </c>
      <c r="K245" s="13">
        <f t="shared" ca="1" si="116"/>
        <v>15000</v>
      </c>
      <c r="L245" s="13">
        <f t="shared" ca="1" si="116"/>
        <v>15000</v>
      </c>
      <c r="M245" s="13">
        <f t="shared" ca="1" si="116"/>
        <v>15000</v>
      </c>
      <c r="N245" s="13">
        <f t="shared" ca="1" si="116"/>
        <v>15000</v>
      </c>
    </row>
    <row r="246" spans="1:14" s="33" customFormat="1" outlineLevel="1">
      <c r="A246" s="13" t="s">
        <v>144</v>
      </c>
      <c r="B246" s="13"/>
      <c r="C246" s="120"/>
      <c r="D246" s="13"/>
      <c r="E246" s="13"/>
      <c r="F246" s="13"/>
      <c r="G246" s="13"/>
      <c r="H246" s="13">
        <f>MIN($G$248*H56,H245)</f>
        <v>0</v>
      </c>
      <c r="I246" s="13">
        <f t="shared" ref="I246:N246" ca="1" si="117">MIN($G$248*I56,I245)</f>
        <v>0</v>
      </c>
      <c r="J246" s="13">
        <f t="shared" ca="1" si="117"/>
        <v>0</v>
      </c>
      <c r="K246" s="13">
        <f t="shared" ca="1" si="117"/>
        <v>0</v>
      </c>
      <c r="L246" s="13">
        <f t="shared" ca="1" si="117"/>
        <v>0</v>
      </c>
      <c r="M246" s="13">
        <f t="shared" ca="1" si="117"/>
        <v>0</v>
      </c>
      <c r="N246" s="13">
        <f t="shared" ca="1" si="117"/>
        <v>15000</v>
      </c>
    </row>
    <row r="247" spans="1:14" s="33" customFormat="1" outlineLevel="1">
      <c r="A247" s="13" t="s">
        <v>145</v>
      </c>
      <c r="B247" s="13"/>
      <c r="C247" s="137"/>
      <c r="D247" s="13"/>
      <c r="E247" s="13"/>
      <c r="F247" s="13"/>
      <c r="G247" s="13"/>
      <c r="H247" s="13">
        <f ca="1">IF(H$216&gt;0,IF((H245-H246)&gt;0,MIN(H$216*$C$247,(H245-H246)),0),0)</f>
        <v>0</v>
      </c>
      <c r="I247" s="13">
        <f t="shared" ref="I247:N247" ca="1" si="118">IF(I$216&gt;0,IF((I245-I246)&gt;0,MIN(I$216*$C$247,(I245-I246)),0),0)</f>
        <v>0</v>
      </c>
      <c r="J247" s="13">
        <f t="shared" ca="1" si="118"/>
        <v>0</v>
      </c>
      <c r="K247" s="13">
        <f t="shared" ca="1" si="118"/>
        <v>0</v>
      </c>
      <c r="L247" s="13">
        <f t="shared" ca="1" si="118"/>
        <v>0</v>
      </c>
      <c r="M247" s="13">
        <f t="shared" ca="1" si="118"/>
        <v>0</v>
      </c>
      <c r="N247" s="13">
        <f t="shared" ca="1" si="118"/>
        <v>0</v>
      </c>
    </row>
    <row r="248" spans="1:14" s="33" customFormat="1" outlineLevel="1">
      <c r="A248" s="121" t="s">
        <v>94</v>
      </c>
      <c r="B248" s="121"/>
      <c r="C248" s="122"/>
      <c r="D248" s="121"/>
      <c r="E248" s="121"/>
      <c r="F248" s="121"/>
      <c r="G248" s="121">
        <f>C56</f>
        <v>15000</v>
      </c>
      <c r="H248" s="121">
        <f ca="1">H245-H246-H247</f>
        <v>15000</v>
      </c>
      <c r="I248" s="121">
        <f t="shared" ref="I248:N248" ca="1" si="119">I245-I246-I247</f>
        <v>15000</v>
      </c>
      <c r="J248" s="121">
        <f t="shared" ca="1" si="119"/>
        <v>15000</v>
      </c>
      <c r="K248" s="121">
        <f t="shared" ca="1" si="119"/>
        <v>15000</v>
      </c>
      <c r="L248" s="121">
        <f t="shared" ca="1" si="119"/>
        <v>15000</v>
      </c>
      <c r="M248" s="121">
        <f t="shared" ca="1" si="119"/>
        <v>15000</v>
      </c>
      <c r="N248" s="121">
        <f t="shared" ca="1" si="119"/>
        <v>0</v>
      </c>
    </row>
    <row r="249" spans="1:14" s="33" customFormat="1" outlineLevel="1">
      <c r="A249" s="13"/>
      <c r="B249" s="13"/>
      <c r="C249" s="120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</row>
    <row r="250" spans="1:14" s="33" customFormat="1" outlineLevel="1">
      <c r="A250" s="13" t="s">
        <v>146</v>
      </c>
      <c r="B250" s="13"/>
      <c r="C250" s="120"/>
      <c r="D250" s="13"/>
      <c r="E250" s="13"/>
      <c r="F250" s="13"/>
      <c r="G250" s="13"/>
      <c r="H250" s="13">
        <f ca="1">AVERAGE(G248:H248)*$F$56</f>
        <v>1500</v>
      </c>
      <c r="I250" s="13">
        <f t="shared" ref="I250:N250" ca="1" si="120">AVERAGE(H248:I248)*$F$56</f>
        <v>1500</v>
      </c>
      <c r="J250" s="13">
        <f t="shared" ca="1" si="120"/>
        <v>1500</v>
      </c>
      <c r="K250" s="13">
        <f t="shared" ca="1" si="120"/>
        <v>1500</v>
      </c>
      <c r="L250" s="13">
        <f t="shared" ca="1" si="120"/>
        <v>1500</v>
      </c>
      <c r="M250" s="13">
        <f t="shared" ca="1" si="120"/>
        <v>1500</v>
      </c>
      <c r="N250" s="13">
        <f t="shared" ca="1" si="120"/>
        <v>750</v>
      </c>
    </row>
    <row r="251" spans="1:14" s="33" customFormat="1" outlineLevel="1">
      <c r="A251" s="13"/>
      <c r="B251" s="13"/>
      <c r="C251" s="120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</row>
    <row r="252" spans="1:14" s="33" customFormat="1" outlineLevel="1">
      <c r="A252" s="123" t="s">
        <v>148</v>
      </c>
      <c r="B252" s="116"/>
      <c r="C252" s="119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</row>
    <row r="253" spans="1:14" s="33" customFormat="1" outlineLevel="1">
      <c r="A253" s="13" t="s">
        <v>93</v>
      </c>
      <c r="B253" s="13"/>
      <c r="C253" s="120"/>
      <c r="D253" s="13"/>
      <c r="E253" s="13"/>
      <c r="F253" s="13"/>
      <c r="G253" s="13"/>
      <c r="H253" s="21">
        <f>H245+H237+H229</f>
        <v>135000</v>
      </c>
      <c r="I253" s="21">
        <f t="shared" ref="H253:N256" ca="1" si="121">I245+I237+I229</f>
        <v>123000</v>
      </c>
      <c r="J253" s="21">
        <f t="shared" ca="1" si="121"/>
        <v>111000</v>
      </c>
      <c r="K253" s="21">
        <f t="shared" ca="1" si="121"/>
        <v>99000</v>
      </c>
      <c r="L253" s="21">
        <f t="shared" ca="1" si="121"/>
        <v>87000</v>
      </c>
      <c r="M253" s="21">
        <f t="shared" ca="1" si="121"/>
        <v>48000</v>
      </c>
      <c r="N253" s="21">
        <f t="shared" ca="1" si="121"/>
        <v>15000</v>
      </c>
    </row>
    <row r="254" spans="1:14" s="33" customFormat="1" outlineLevel="1">
      <c r="A254" s="13" t="s">
        <v>144</v>
      </c>
      <c r="B254" s="13"/>
      <c r="C254" s="120"/>
      <c r="D254" s="13"/>
      <c r="E254" s="13"/>
      <c r="F254" s="13"/>
      <c r="G254" s="13"/>
      <c r="H254" s="13">
        <f t="shared" si="121"/>
        <v>12000</v>
      </c>
      <c r="I254" s="13">
        <f t="shared" ca="1" si="121"/>
        <v>12000</v>
      </c>
      <c r="J254" s="13">
        <f t="shared" ca="1" si="121"/>
        <v>12000</v>
      </c>
      <c r="K254" s="13">
        <f t="shared" ca="1" si="121"/>
        <v>12000</v>
      </c>
      <c r="L254" s="13">
        <f t="shared" ca="1" si="121"/>
        <v>39000</v>
      </c>
      <c r="M254" s="13">
        <f t="shared" ca="1" si="121"/>
        <v>33000</v>
      </c>
      <c r="N254" s="13">
        <f t="shared" ca="1" si="121"/>
        <v>15000</v>
      </c>
    </row>
    <row r="255" spans="1:14" s="33" customFormat="1" outlineLevel="1">
      <c r="A255" s="13" t="s">
        <v>145</v>
      </c>
      <c r="B255" s="13"/>
      <c r="C255" s="137"/>
      <c r="D255" s="13"/>
      <c r="E255" s="13"/>
      <c r="F255" s="13"/>
      <c r="G255" s="13"/>
      <c r="H255" s="13">
        <f t="shared" ca="1" si="121"/>
        <v>0</v>
      </c>
      <c r="I255" s="13">
        <f t="shared" ca="1" si="121"/>
        <v>0</v>
      </c>
      <c r="J255" s="13">
        <f t="shared" ca="1" si="121"/>
        <v>0</v>
      </c>
      <c r="K255" s="13">
        <f t="shared" ca="1" si="121"/>
        <v>0</v>
      </c>
      <c r="L255" s="13">
        <f t="shared" ca="1" si="121"/>
        <v>0</v>
      </c>
      <c r="M255" s="13">
        <f t="shared" ca="1" si="121"/>
        <v>0</v>
      </c>
      <c r="N255" s="13">
        <f t="shared" ca="1" si="121"/>
        <v>0</v>
      </c>
    </row>
    <row r="256" spans="1:14" s="33" customFormat="1" outlineLevel="1">
      <c r="A256" s="121" t="s">
        <v>94</v>
      </c>
      <c r="B256" s="121"/>
      <c r="C256" s="122"/>
      <c r="D256" s="121"/>
      <c r="E256" s="121"/>
      <c r="F256" s="121"/>
      <c r="G256" s="121">
        <f>G248+G240+G232</f>
        <v>135000</v>
      </c>
      <c r="H256" s="121">
        <f ca="1">H248+H240+H232</f>
        <v>123000</v>
      </c>
      <c r="I256" s="121">
        <f t="shared" ca="1" si="121"/>
        <v>111000</v>
      </c>
      <c r="J256" s="121">
        <f t="shared" ca="1" si="121"/>
        <v>99000</v>
      </c>
      <c r="K256" s="121">
        <f t="shared" ca="1" si="121"/>
        <v>87000</v>
      </c>
      <c r="L256" s="121">
        <f t="shared" ca="1" si="121"/>
        <v>48000</v>
      </c>
      <c r="M256" s="121">
        <f t="shared" ca="1" si="121"/>
        <v>15000</v>
      </c>
      <c r="N256" s="121">
        <f t="shared" ca="1" si="121"/>
        <v>0</v>
      </c>
    </row>
    <row r="257" spans="1:14" s="33" customFormat="1" outlineLevel="1">
      <c r="A257" s="13"/>
      <c r="B257" s="13"/>
      <c r="C257" s="120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</row>
    <row r="258" spans="1:14" outlineLevel="1">
      <c r="A258" s="13" t="s">
        <v>146</v>
      </c>
      <c r="B258" s="13"/>
      <c r="C258" s="120"/>
      <c r="D258" s="13"/>
      <c r="E258" s="13"/>
      <c r="F258" s="13"/>
      <c r="G258" s="13"/>
      <c r="H258" s="13">
        <f ca="1">H226+H250+H242+H234</f>
        <v>9044.1823958289824</v>
      </c>
      <c r="I258" s="13">
        <f t="shared" ref="I258:N258" ca="1" si="122">I226+I250+I242+I234</f>
        <v>8363.476749571877</v>
      </c>
      <c r="J258" s="13">
        <f t="shared" ca="1" si="122"/>
        <v>7617.8616851288352</v>
      </c>
      <c r="K258" s="13">
        <f t="shared" ca="1" si="122"/>
        <v>6805.4980303888096</v>
      </c>
      <c r="L258" s="13">
        <f t="shared" ca="1" si="122"/>
        <v>5583.5512299058018</v>
      </c>
      <c r="M258" s="13">
        <f t="shared" ca="1" si="122"/>
        <v>3690.3968386687816</v>
      </c>
      <c r="N258" s="13">
        <f t="shared" ca="1" si="122"/>
        <v>1746.9148777875139</v>
      </c>
    </row>
    <row r="259" spans="1:14" outlineLevel="1">
      <c r="A259" s="13"/>
      <c r="B259" s="13"/>
      <c r="C259" s="120"/>
      <c r="D259" s="13"/>
      <c r="E259" s="13"/>
      <c r="F259" s="13"/>
      <c r="G259" s="13"/>
      <c r="H259" s="13"/>
      <c r="I259" s="13"/>
      <c r="J259" s="13"/>
      <c r="K259" s="13"/>
      <c r="L259" s="13"/>
      <c r="M259" s="13"/>
    </row>
    <row r="260" spans="1:14" s="33" customFormat="1">
      <c r="A260" s="13"/>
      <c r="B260" s="13"/>
      <c r="C260" s="120"/>
      <c r="D260" s="13"/>
      <c r="E260" s="13"/>
      <c r="F260" s="13"/>
      <c r="G260" s="13"/>
      <c r="H260" s="13"/>
      <c r="I260" s="13"/>
      <c r="J260" s="13"/>
      <c r="K260" s="13"/>
      <c r="L260" s="13"/>
      <c r="M260" s="13"/>
    </row>
    <row r="261" spans="1:14" ht="20">
      <c r="A261" s="10" t="s">
        <v>95</v>
      </c>
      <c r="B261" s="11"/>
      <c r="C261" s="12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outlineLevel="1">
      <c r="D262" s="9"/>
      <c r="E262" s="9"/>
      <c r="F262" s="9"/>
      <c r="G262" s="9"/>
      <c r="H262" s="9"/>
      <c r="I262" s="9"/>
      <c r="J262" s="9"/>
      <c r="K262" s="9"/>
      <c r="L262" s="9"/>
      <c r="M262" s="9"/>
    </row>
    <row r="263" spans="1:14" outlineLevel="1">
      <c r="A263" s="62" t="s">
        <v>110</v>
      </c>
      <c r="B263" s="62"/>
      <c r="C263" s="63"/>
      <c r="D263" s="62"/>
      <c r="E263" s="62"/>
      <c r="F263" s="62"/>
      <c r="G263" s="62"/>
      <c r="H263" s="62"/>
      <c r="I263" s="62"/>
      <c r="J263" s="62"/>
      <c r="K263" s="62"/>
      <c r="L263" s="62"/>
    </row>
    <row r="264" spans="1:14" outlineLevel="1">
      <c r="A264" s="41" t="s">
        <v>88</v>
      </c>
      <c r="B264" s="41"/>
      <c r="C264" s="67"/>
      <c r="D264" s="75"/>
      <c r="E264" s="41"/>
      <c r="F264" s="41"/>
      <c r="G264" s="41"/>
      <c r="H264" s="41"/>
      <c r="I264" s="41"/>
      <c r="J264" s="41"/>
      <c r="K264" s="41"/>
      <c r="L264" s="41"/>
    </row>
    <row r="265" spans="1:14" outlineLevel="1">
      <c r="D265" s="59" t="s">
        <v>0</v>
      </c>
      <c r="E265" s="59" t="s">
        <v>149</v>
      </c>
      <c r="F265" s="59" t="s">
        <v>69</v>
      </c>
      <c r="G265" s="59" t="s">
        <v>85</v>
      </c>
      <c r="H265" s="59" t="s">
        <v>56</v>
      </c>
      <c r="I265" s="59" t="s">
        <v>56</v>
      </c>
      <c r="J265" s="59" t="s">
        <v>56</v>
      </c>
      <c r="K265" s="59" t="s">
        <v>87</v>
      </c>
      <c r="L265" s="59" t="s">
        <v>151</v>
      </c>
    </row>
    <row r="266" spans="1:14" outlineLevel="1">
      <c r="D266" s="74"/>
      <c r="E266" s="16"/>
      <c r="F266" s="16"/>
      <c r="G266" s="84" t="s">
        <v>3</v>
      </c>
      <c r="H266" s="84" t="s">
        <v>107</v>
      </c>
      <c r="I266" s="84" t="s">
        <v>108</v>
      </c>
      <c r="J266" s="84" t="s">
        <v>109</v>
      </c>
      <c r="K266" s="16"/>
      <c r="L266" s="74"/>
    </row>
    <row r="267" spans="1:14" outlineLevel="1">
      <c r="A267" s="15" t="s">
        <v>14</v>
      </c>
      <c r="D267" s="47"/>
    </row>
    <row r="268" spans="1:14" outlineLevel="1">
      <c r="A268" s="4" t="s">
        <v>15</v>
      </c>
      <c r="C268" s="4"/>
      <c r="D268" s="47">
        <f>G133</f>
        <v>78237.254164695405</v>
      </c>
      <c r="E268" s="55">
        <f>F74</f>
        <v>0</v>
      </c>
      <c r="F268" s="33">
        <f>SUM(D268:E268)</f>
        <v>78237.254164695405</v>
      </c>
      <c r="G268" s="55">
        <f>-H63</f>
        <v>-211427.25416469539</v>
      </c>
      <c r="H268" s="55">
        <f ca="1">C64+C65+C66+C67+C68</f>
        <v>182639.75782038344</v>
      </c>
      <c r="I268" s="55">
        <f ca="1">-H66-H67-H68</f>
        <v>-7639.757820383451</v>
      </c>
      <c r="J268" s="55">
        <f>J280+J277</f>
        <v>-25810</v>
      </c>
      <c r="K268" s="33">
        <f ca="1">SUM(G268:J268)</f>
        <v>-62237.254164695398</v>
      </c>
      <c r="L268" s="4">
        <f ca="1">K268+F268</f>
        <v>16000.000000000007</v>
      </c>
    </row>
    <row r="269" spans="1:14" outlineLevel="1">
      <c r="A269" s="4" t="s">
        <v>16</v>
      </c>
      <c r="C269" s="4"/>
      <c r="D269" s="47">
        <f>G134</f>
        <v>4010</v>
      </c>
      <c r="E269" s="55">
        <f t="shared" ref="E269:E270" si="123">F75</f>
        <v>490</v>
      </c>
      <c r="F269" s="33">
        <f t="shared" ref="F269:F273" si="124">SUM(D269:E269)</f>
        <v>4500</v>
      </c>
      <c r="G269" s="55"/>
      <c r="H269" s="55"/>
      <c r="I269" s="55"/>
      <c r="J269" s="55"/>
      <c r="K269" s="33">
        <f>SUM(G269:J269)</f>
        <v>0</v>
      </c>
      <c r="L269" s="4">
        <f t="shared" ref="L269:L273" si="125">K269+F269</f>
        <v>4500</v>
      </c>
    </row>
    <row r="270" spans="1:14" outlineLevel="1">
      <c r="A270" s="4" t="s">
        <v>17</v>
      </c>
      <c r="C270" s="4"/>
      <c r="D270" s="47">
        <f>G135</f>
        <v>6267.7169999999996</v>
      </c>
      <c r="E270" s="55">
        <f t="shared" si="123"/>
        <v>-467.71699999999964</v>
      </c>
      <c r="F270" s="33">
        <f t="shared" si="124"/>
        <v>5800</v>
      </c>
      <c r="G270" s="55"/>
      <c r="H270" s="55"/>
      <c r="I270" s="55"/>
      <c r="J270" s="55"/>
      <c r="K270" s="33">
        <f>SUM(G270:J270)</f>
        <v>0</v>
      </c>
      <c r="L270" s="4">
        <f t="shared" si="125"/>
        <v>5800</v>
      </c>
    </row>
    <row r="271" spans="1:14" outlineLevel="1">
      <c r="A271" s="17" t="s">
        <v>70</v>
      </c>
      <c r="B271" s="17"/>
      <c r="C271" s="17"/>
      <c r="D271" s="30">
        <f>SUM(D268:D270)</f>
        <v>88514.971164695409</v>
      </c>
      <c r="E271" s="69"/>
      <c r="F271" s="52"/>
      <c r="G271" s="69"/>
      <c r="H271" s="69"/>
      <c r="I271" s="69"/>
      <c r="J271" s="69"/>
      <c r="K271" s="17"/>
      <c r="L271" s="17">
        <f ca="1">SUM(L268:L270)</f>
        <v>26300.000000000007</v>
      </c>
    </row>
    <row r="272" spans="1:14" outlineLevel="1">
      <c r="A272" s="4" t="s">
        <v>18</v>
      </c>
      <c r="C272" s="4"/>
      <c r="D272" s="47">
        <f t="shared" ref="D272:D273" si="126">G137</f>
        <v>21710</v>
      </c>
      <c r="E272" s="55">
        <f>F77</f>
        <v>7290</v>
      </c>
      <c r="F272" s="33">
        <f t="shared" si="124"/>
        <v>29000</v>
      </c>
      <c r="G272" s="55"/>
      <c r="H272" s="55"/>
      <c r="I272" s="55"/>
      <c r="J272" s="55"/>
      <c r="K272" s="33">
        <f t="shared" ref="K272:K273" si="127">SUM(G272:J272)</f>
        <v>0</v>
      </c>
      <c r="L272" s="4">
        <f t="shared" si="125"/>
        <v>29000</v>
      </c>
    </row>
    <row r="273" spans="1:12" outlineLevel="1">
      <c r="A273" s="4" t="s">
        <v>86</v>
      </c>
      <c r="C273" s="4"/>
      <c r="D273" s="47">
        <f t="shared" si="126"/>
        <v>0</v>
      </c>
      <c r="E273" s="55"/>
      <c r="F273" s="33">
        <f t="shared" si="124"/>
        <v>0</v>
      </c>
      <c r="G273" s="55">
        <f>M80</f>
        <v>123243.99999999999</v>
      </c>
      <c r="H273" s="55"/>
      <c r="I273" s="55"/>
      <c r="J273" s="55"/>
      <c r="K273" s="33">
        <f t="shared" si="127"/>
        <v>123243.99999999999</v>
      </c>
      <c r="L273" s="4">
        <f t="shared" si="125"/>
        <v>123243.99999999999</v>
      </c>
    </row>
    <row r="274" spans="1:12" ht="17" outlineLevel="1" thickBot="1">
      <c r="A274" s="34" t="s">
        <v>19</v>
      </c>
      <c r="B274" s="34"/>
      <c r="C274" s="34"/>
      <c r="D274" s="36">
        <f>SUM(D271:D273)</f>
        <v>110224.97116469541</v>
      </c>
      <c r="E274" s="70"/>
      <c r="F274" s="65"/>
      <c r="G274" s="70"/>
      <c r="H274" s="70"/>
      <c r="I274" s="70"/>
      <c r="J274" s="70"/>
      <c r="K274" s="34"/>
      <c r="L274" s="34">
        <f ca="1">SUM(L271:L273)</f>
        <v>178544</v>
      </c>
    </row>
    <row r="275" spans="1:12" ht="17" outlineLevel="1" thickTop="1">
      <c r="A275" s="22"/>
      <c r="B275" s="22"/>
      <c r="C275" s="22"/>
      <c r="D275" s="25"/>
      <c r="E275" s="71"/>
      <c r="F275" s="66"/>
      <c r="G275" s="71"/>
      <c r="H275" s="71"/>
      <c r="I275" s="71"/>
      <c r="J275" s="71"/>
      <c r="K275" s="66"/>
      <c r="L275" s="22"/>
    </row>
    <row r="276" spans="1:12" outlineLevel="1">
      <c r="A276" s="15" t="s">
        <v>20</v>
      </c>
      <c r="B276" s="15"/>
      <c r="C276" s="15"/>
      <c r="D276" s="48"/>
      <c r="E276" s="72"/>
      <c r="F276" s="28"/>
      <c r="G276" s="72"/>
      <c r="H276" s="72"/>
      <c r="I276" s="72"/>
      <c r="J276" s="72"/>
      <c r="K276" s="28"/>
      <c r="L276" s="15"/>
    </row>
    <row r="277" spans="1:12" outlineLevel="1">
      <c r="A277" s="4" t="s">
        <v>71</v>
      </c>
      <c r="C277" s="4"/>
      <c r="D277" s="47">
        <f t="shared" ref="D277:D278" si="128">G142</f>
        <v>0</v>
      </c>
      <c r="E277" s="55"/>
      <c r="F277" s="33">
        <f t="shared" ref="F277:F278" si="129">SUM(D277:E277)</f>
        <v>0</v>
      </c>
      <c r="G277" s="55"/>
      <c r="H277" s="55">
        <f>C53</f>
        <v>9000</v>
      </c>
      <c r="I277" s="55"/>
      <c r="J277" s="55">
        <f>-D277</f>
        <v>0</v>
      </c>
      <c r="K277" s="33">
        <f t="shared" ref="K277:K278" si="130">SUM(G277:J277)</f>
        <v>9000</v>
      </c>
      <c r="L277" s="4">
        <f t="shared" ref="L277:L278" si="131">K277+F277</f>
        <v>9000</v>
      </c>
    </row>
    <row r="278" spans="1:12" outlineLevel="1">
      <c r="A278" s="4" t="s">
        <v>21</v>
      </c>
      <c r="C278" s="4"/>
      <c r="D278" s="47">
        <f t="shared" si="128"/>
        <v>3544</v>
      </c>
      <c r="E278" s="55"/>
      <c r="F278" s="33">
        <f t="shared" si="129"/>
        <v>3544</v>
      </c>
      <c r="G278" s="55"/>
      <c r="H278" s="55"/>
      <c r="I278" s="55"/>
      <c r="J278" s="55"/>
      <c r="K278" s="33">
        <f t="shared" si="130"/>
        <v>0</v>
      </c>
      <c r="L278" s="4">
        <f t="shared" si="131"/>
        <v>3544</v>
      </c>
    </row>
    <row r="279" spans="1:12" outlineLevel="1">
      <c r="A279" s="17" t="s">
        <v>73</v>
      </c>
      <c r="B279" s="17"/>
      <c r="C279" s="17"/>
      <c r="D279" s="30">
        <f>SUM(D277:D278)</f>
        <v>3544</v>
      </c>
      <c r="E279" s="69"/>
      <c r="F279" s="52"/>
      <c r="G279" s="69"/>
      <c r="H279" s="69"/>
      <c r="I279" s="69"/>
      <c r="J279" s="69"/>
      <c r="K279" s="17"/>
      <c r="L279" s="17">
        <f>SUM(L277:L278)</f>
        <v>12544</v>
      </c>
    </row>
    <row r="280" spans="1:12" outlineLevel="1">
      <c r="A280" s="4" t="s">
        <v>72</v>
      </c>
      <c r="C280" s="4"/>
      <c r="D280" s="47">
        <f>G145</f>
        <v>25810</v>
      </c>
      <c r="E280" s="55"/>
      <c r="F280" s="33">
        <f t="shared" ref="F280" si="132">SUM(D280:E280)</f>
        <v>25810</v>
      </c>
      <c r="G280" s="55"/>
      <c r="H280" s="55">
        <f>C54+C55+C56</f>
        <v>135000</v>
      </c>
      <c r="I280" s="55"/>
      <c r="J280" s="55">
        <f>-D280</f>
        <v>-25810</v>
      </c>
      <c r="K280" s="33">
        <f>SUM(G280:J280)</f>
        <v>109190</v>
      </c>
      <c r="L280" s="4">
        <f t="shared" ref="L280" si="133">K280+F280</f>
        <v>135000</v>
      </c>
    </row>
    <row r="281" spans="1:12" outlineLevel="1">
      <c r="A281" s="17" t="s">
        <v>22</v>
      </c>
      <c r="B281" s="17"/>
      <c r="C281" s="17"/>
      <c r="D281" s="30">
        <f>SUM(D279:D280)</f>
        <v>29354</v>
      </c>
      <c r="E281" s="69"/>
      <c r="F281" s="52"/>
      <c r="G281" s="69"/>
      <c r="H281" s="69"/>
      <c r="I281" s="69"/>
      <c r="J281" s="69"/>
      <c r="K281" s="17"/>
      <c r="L281" s="17">
        <f>SUM(L279:L280)</f>
        <v>147544</v>
      </c>
    </row>
    <row r="282" spans="1:12" outlineLevel="1">
      <c r="A282" s="15" t="s">
        <v>23</v>
      </c>
      <c r="B282" s="15"/>
      <c r="C282" s="15"/>
      <c r="D282" s="48"/>
      <c r="E282" s="72"/>
      <c r="F282" s="28"/>
      <c r="G282" s="72"/>
      <c r="H282" s="72"/>
      <c r="I282" s="72"/>
      <c r="J282" s="72"/>
      <c r="K282" s="28"/>
      <c r="L282" s="15"/>
    </row>
    <row r="283" spans="1:12" outlineLevel="1">
      <c r="A283" s="4" t="s">
        <v>24</v>
      </c>
      <c r="C283" s="4"/>
      <c r="D283" s="47">
        <f t="shared" ref="D283:D284" si="134">G148</f>
        <v>43500</v>
      </c>
      <c r="E283" s="55"/>
      <c r="F283" s="33">
        <f t="shared" ref="F283:F284" si="135">SUM(D283:E283)</f>
        <v>43500</v>
      </c>
      <c r="G283" s="55">
        <f>-F283</f>
        <v>-43500</v>
      </c>
      <c r="H283" s="55">
        <f ca="1">C57</f>
        <v>38639.757820383442</v>
      </c>
      <c r="I283" s="55"/>
      <c r="J283" s="55"/>
      <c r="K283" s="33">
        <f t="shared" ref="K283:K284" ca="1" si="136">SUM(G283:J283)</f>
        <v>-4860.2421796165581</v>
      </c>
      <c r="L283" s="4">
        <f t="shared" ref="L283:L284" ca="1" si="137">K283+F283</f>
        <v>38639.757820383442</v>
      </c>
    </row>
    <row r="284" spans="1:12" outlineLevel="1">
      <c r="A284" s="4" t="s">
        <v>25</v>
      </c>
      <c r="C284" s="4"/>
      <c r="D284" s="47">
        <f t="shared" si="134"/>
        <v>37370.970999999998</v>
      </c>
      <c r="E284" s="55"/>
      <c r="F284" s="33">
        <f t="shared" si="135"/>
        <v>37370.970999999998</v>
      </c>
      <c r="G284" s="55">
        <f>-F284</f>
        <v>-37370.970999999998</v>
      </c>
      <c r="H284" s="55"/>
      <c r="I284" s="55">
        <f ca="1">I268</f>
        <v>-7639.757820383451</v>
      </c>
      <c r="J284" s="55"/>
      <c r="K284" s="33">
        <f t="shared" ca="1" si="136"/>
        <v>-45010.728820383447</v>
      </c>
      <c r="L284" s="4">
        <f t="shared" ca="1" si="137"/>
        <v>-7639.7578203834491</v>
      </c>
    </row>
    <row r="285" spans="1:12" outlineLevel="1">
      <c r="A285" s="38" t="s">
        <v>23</v>
      </c>
      <c r="B285" s="38"/>
      <c r="C285" s="38"/>
      <c r="D285" s="40">
        <f>SUM(D283:D284)</f>
        <v>80870.97099999999</v>
      </c>
      <c r="E285" s="73"/>
      <c r="F285" s="38"/>
      <c r="G285" s="73"/>
      <c r="H285" s="73"/>
      <c r="I285" s="73"/>
      <c r="J285" s="73"/>
      <c r="K285" s="38"/>
      <c r="L285" s="38">
        <f ca="1">SUM(L283:L284)</f>
        <v>30999.999999999993</v>
      </c>
    </row>
    <row r="286" spans="1:12" ht="17" outlineLevel="1" thickBot="1">
      <c r="A286" s="34" t="s">
        <v>26</v>
      </c>
      <c r="B286" s="34"/>
      <c r="C286" s="34"/>
      <c r="D286" s="36">
        <f>D285+D281</f>
        <v>110224.97099999999</v>
      </c>
      <c r="E286" s="70"/>
      <c r="F286" s="34"/>
      <c r="G286" s="70"/>
      <c r="H286" s="70"/>
      <c r="I286" s="70"/>
      <c r="J286" s="70"/>
      <c r="K286" s="34"/>
      <c r="L286" s="34">
        <f ca="1">L285+L281</f>
        <v>178544</v>
      </c>
    </row>
    <row r="287" spans="1:12" ht="17" outlineLevel="1" thickTop="1"/>
    <row r="288" spans="1:12" outlineLevel="1">
      <c r="A288" s="41" t="s">
        <v>27</v>
      </c>
      <c r="B288" s="41"/>
      <c r="C288" s="67"/>
      <c r="D288" s="68"/>
      <c r="E288" s="41"/>
      <c r="F288" s="41"/>
      <c r="G288" s="41"/>
      <c r="H288" s="41"/>
      <c r="K288" s="68"/>
      <c r="L288" s="68"/>
    </row>
    <row r="289" spans="1:14" outlineLevel="1"/>
    <row r="291" spans="1:14" ht="20">
      <c r="A291" s="10" t="s">
        <v>238</v>
      </c>
      <c r="B291" s="11"/>
      <c r="C291" s="12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</row>
    <row r="292" spans="1:14" outlineLevel="1">
      <c r="D292" s="9"/>
      <c r="E292" s="9"/>
      <c r="F292" s="9"/>
      <c r="G292" s="9"/>
      <c r="H292" s="9"/>
      <c r="I292" s="9"/>
      <c r="J292" s="9"/>
      <c r="K292" s="9"/>
      <c r="L292" s="9"/>
      <c r="M292" s="9"/>
    </row>
    <row r="293" spans="1:14" outlineLevel="1">
      <c r="A293" s="62" t="s">
        <v>170</v>
      </c>
      <c r="B293" s="62"/>
      <c r="C293" s="63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</row>
    <row r="294" spans="1:14" ht="17" outlineLevel="1">
      <c r="E294" s="133" t="s">
        <v>172</v>
      </c>
      <c r="F294" s="133">
        <f>D11</f>
        <v>2018</v>
      </c>
      <c r="G294" s="133">
        <f>F294+1</f>
        <v>2019</v>
      </c>
      <c r="H294" s="133">
        <f t="shared" ref="H294:L294" si="138">G294+1</f>
        <v>2020</v>
      </c>
      <c r="I294" s="133">
        <f t="shared" si="138"/>
        <v>2021</v>
      </c>
      <c r="J294" s="133">
        <f t="shared" si="138"/>
        <v>2022</v>
      </c>
      <c r="K294" s="133">
        <f t="shared" si="138"/>
        <v>2023</v>
      </c>
      <c r="L294" s="133">
        <f t="shared" si="138"/>
        <v>2024</v>
      </c>
      <c r="M294" s="133" t="s">
        <v>171</v>
      </c>
    </row>
    <row r="295" spans="1:14" outlineLevel="1">
      <c r="E295" s="134">
        <f>D10</f>
        <v>43190</v>
      </c>
      <c r="F295" s="134">
        <f>DATE(F294,$D$12,$D$13)</f>
        <v>43465</v>
      </c>
      <c r="G295" s="134">
        <f t="shared" ref="G295:L295" si="139">DATE(G294,$D$12,$D$13)</f>
        <v>43830</v>
      </c>
      <c r="H295" s="134">
        <f t="shared" si="139"/>
        <v>44196</v>
      </c>
      <c r="I295" s="134">
        <f t="shared" si="139"/>
        <v>44561</v>
      </c>
      <c r="J295" s="134">
        <f t="shared" si="139"/>
        <v>44926</v>
      </c>
      <c r="K295" s="134">
        <f t="shared" si="139"/>
        <v>45291</v>
      </c>
      <c r="L295" s="134">
        <f t="shared" si="139"/>
        <v>45657</v>
      </c>
      <c r="M295" s="134">
        <f>L295</f>
        <v>45657</v>
      </c>
    </row>
    <row r="296" spans="1:14" ht="17" outlineLevel="1">
      <c r="E296" s="141"/>
      <c r="F296" s="135">
        <f>YEARFRAC(E295,F295)</f>
        <v>0.75</v>
      </c>
      <c r="G296" s="135">
        <f t="shared" ref="G296:L296" si="140">YEARFRAC(F295,G295)</f>
        <v>1</v>
      </c>
      <c r="H296" s="135">
        <f t="shared" si="140"/>
        <v>1</v>
      </c>
      <c r="I296" s="135">
        <f t="shared" si="140"/>
        <v>1</v>
      </c>
      <c r="J296" s="135">
        <f t="shared" si="140"/>
        <v>1</v>
      </c>
      <c r="K296" s="135">
        <f t="shared" si="140"/>
        <v>1</v>
      </c>
      <c r="L296" s="135">
        <f t="shared" si="140"/>
        <v>1</v>
      </c>
      <c r="M296" s="136"/>
    </row>
    <row r="297" spans="1:14" outlineLevel="1">
      <c r="A297" s="15" t="s">
        <v>51</v>
      </c>
    </row>
    <row r="298" spans="1:14" outlineLevel="1">
      <c r="A298" s="4" t="s">
        <v>2</v>
      </c>
      <c r="E298" s="19"/>
      <c r="F298" s="45">
        <f>H122</f>
        <v>26140.226896000007</v>
      </c>
      <c r="G298" s="45">
        <f t="shared" ref="G298:L298" si="141">I122</f>
        <v>26924.110504256005</v>
      </c>
      <c r="H298" s="45">
        <f t="shared" si="141"/>
        <v>30193.850284054668</v>
      </c>
      <c r="I298" s="45">
        <f t="shared" si="141"/>
        <v>31804.338259342392</v>
      </c>
      <c r="J298" s="45">
        <f t="shared" si="141"/>
        <v>35348.35218795573</v>
      </c>
      <c r="K298" s="45">
        <f t="shared" si="141"/>
        <v>36114.836293574197</v>
      </c>
      <c r="L298" s="45">
        <f t="shared" si="141"/>
        <v>37760.788956871089</v>
      </c>
      <c r="M298" s="19"/>
    </row>
    <row r="299" spans="1:14" outlineLevel="1">
      <c r="A299" s="4" t="s">
        <v>173</v>
      </c>
      <c r="F299" s="4">
        <f>F298*$D$26</f>
        <v>7842.068068800002</v>
      </c>
      <c r="G299" s="4">
        <f t="shared" ref="G299:L299" si="142">G298*$D$26</f>
        <v>8077.2331512768014</v>
      </c>
      <c r="H299" s="4">
        <f t="shared" si="142"/>
        <v>9058.1550852164</v>
      </c>
      <c r="I299" s="4">
        <f t="shared" si="142"/>
        <v>9541.3014778027173</v>
      </c>
      <c r="J299" s="4">
        <f t="shared" si="142"/>
        <v>10604.505656386718</v>
      </c>
      <c r="K299" s="4">
        <f t="shared" si="142"/>
        <v>10834.450888072259</v>
      </c>
      <c r="L299" s="4">
        <f t="shared" si="142"/>
        <v>11328.236687061326</v>
      </c>
    </row>
    <row r="300" spans="1:14" outlineLevel="1">
      <c r="A300" s="4" t="s">
        <v>174</v>
      </c>
      <c r="F300" s="4">
        <f>-H166</f>
        <v>8745.0832000000009</v>
      </c>
      <c r="G300" s="4">
        <f t="shared" ref="G300:L300" si="143">-I166</f>
        <v>9059.9061952000029</v>
      </c>
      <c r="H300" s="4">
        <f t="shared" si="143"/>
        <v>9010.6203054981142</v>
      </c>
      <c r="I300" s="4">
        <f t="shared" si="143"/>
        <v>9335.0026364960468</v>
      </c>
      <c r="J300" s="4">
        <f t="shared" si="143"/>
        <v>9268.1017842678248</v>
      </c>
      <c r="K300" s="4">
        <f t="shared" si="143"/>
        <v>8975.5521366426747</v>
      </c>
      <c r="L300" s="4">
        <f t="shared" si="143"/>
        <v>9298.6720135618125</v>
      </c>
    </row>
    <row r="301" spans="1:14" outlineLevel="1">
      <c r="A301" s="4" t="s">
        <v>175</v>
      </c>
      <c r="F301" s="4">
        <f>H121</f>
        <v>5075</v>
      </c>
      <c r="G301" s="4">
        <f t="shared" ref="G301:L301" si="144">I121</f>
        <v>5717.2645599999996</v>
      </c>
      <c r="H301" s="4">
        <f t="shared" si="144"/>
        <v>6302.2268461599997</v>
      </c>
      <c r="I301" s="4">
        <f t="shared" si="144"/>
        <v>6776.1957015441694</v>
      </c>
      <c r="J301" s="4">
        <f t="shared" si="144"/>
        <v>7223.9869151607481</v>
      </c>
      <c r="K301" s="4">
        <f t="shared" si="144"/>
        <v>7581.7070172544863</v>
      </c>
      <c r="L301" s="4">
        <f t="shared" si="144"/>
        <v>7825.6299131474207</v>
      </c>
    </row>
    <row r="302" spans="1:14" outlineLevel="1">
      <c r="A302" s="4" t="s">
        <v>176</v>
      </c>
      <c r="F302" s="4">
        <f>H192</f>
        <v>431.73961643835628</v>
      </c>
      <c r="G302" s="4">
        <f t="shared" ref="G302:L302" si="145">I192</f>
        <v>258.75862619178224</v>
      </c>
      <c r="H302" s="4">
        <f t="shared" si="145"/>
        <v>36.636771353738368</v>
      </c>
      <c r="I302" s="4">
        <f t="shared" si="145"/>
        <v>209.45063466975535</v>
      </c>
      <c r="J302" s="4">
        <f t="shared" si="145"/>
        <v>-33.56764646684951</v>
      </c>
      <c r="K302" s="4">
        <f t="shared" si="145"/>
        <v>275.72464807872348</v>
      </c>
      <c r="L302" s="4">
        <f t="shared" si="145"/>
        <v>285.65073540955927</v>
      </c>
    </row>
    <row r="303" spans="1:14" outlineLevel="1">
      <c r="A303" s="17" t="s">
        <v>177</v>
      </c>
      <c r="B303" s="17"/>
      <c r="C303" s="18"/>
      <c r="D303" s="17"/>
      <c r="E303" s="17"/>
      <c r="F303" s="17">
        <f>F298-F299-F300+F301-F302</f>
        <v>14196.336010761646</v>
      </c>
      <c r="G303" s="17">
        <f t="shared" ref="G303:L303" si="146">G298-G299-G300+G301-G302</f>
        <v>15245.477091587416</v>
      </c>
      <c r="H303" s="17">
        <f t="shared" si="146"/>
        <v>18390.664968146411</v>
      </c>
      <c r="I303" s="17">
        <f t="shared" si="146"/>
        <v>19494.779211918041</v>
      </c>
      <c r="J303" s="17">
        <f t="shared" si="146"/>
        <v>22733.299308928785</v>
      </c>
      <c r="K303" s="17">
        <f t="shared" si="146"/>
        <v>23610.815638035026</v>
      </c>
      <c r="L303" s="17">
        <f t="shared" si="146"/>
        <v>24673.85943398581</v>
      </c>
      <c r="M303" s="17"/>
    </row>
    <row r="304" spans="1:14" outlineLevel="1">
      <c r="A304" s="22"/>
      <c r="B304" s="22"/>
      <c r="C304" s="23"/>
      <c r="D304" s="22"/>
      <c r="E304" s="22"/>
      <c r="F304" s="22"/>
      <c r="G304" s="22"/>
      <c r="H304" s="22"/>
      <c r="I304" s="22"/>
      <c r="J304" s="22"/>
      <c r="K304" s="22"/>
      <c r="L304" s="22"/>
      <c r="M304" s="22"/>
    </row>
    <row r="305" spans="1:13" outlineLevel="1">
      <c r="A305" s="143" t="s">
        <v>196</v>
      </c>
      <c r="B305" s="69"/>
      <c r="C305" s="144"/>
      <c r="D305" s="69"/>
      <c r="E305" s="150">
        <v>0</v>
      </c>
      <c r="F305" s="69">
        <f>F303*F296</f>
        <v>10647.252008071235</v>
      </c>
      <c r="G305" s="69">
        <f t="shared" ref="G305:L305" si="147">G303*G296</f>
        <v>15245.477091587416</v>
      </c>
      <c r="H305" s="69">
        <f t="shared" si="147"/>
        <v>18390.664968146411</v>
      </c>
      <c r="I305" s="69">
        <f t="shared" si="147"/>
        <v>19494.779211918041</v>
      </c>
      <c r="J305" s="69">
        <f t="shared" si="147"/>
        <v>22733.299308928785</v>
      </c>
      <c r="K305" s="69">
        <f t="shared" si="147"/>
        <v>23610.815638035026</v>
      </c>
      <c r="L305" s="69">
        <f t="shared" si="147"/>
        <v>24673.85943398581</v>
      </c>
      <c r="M305" s="145">
        <f>C321</f>
        <v>241608.02001109809</v>
      </c>
    </row>
    <row r="306" spans="1:13" outlineLevel="1">
      <c r="A306" s="146" t="s">
        <v>197</v>
      </c>
      <c r="B306" s="147"/>
      <c r="C306" s="148"/>
      <c r="D306" s="147"/>
      <c r="E306" s="147">
        <f>-D37</f>
        <v>-159000</v>
      </c>
      <c r="F306" s="147">
        <f>F305</f>
        <v>10647.252008071235</v>
      </c>
      <c r="G306" s="147">
        <f t="shared" ref="G306:L306" si="148">G305</f>
        <v>15245.477091587416</v>
      </c>
      <c r="H306" s="147">
        <f t="shared" si="148"/>
        <v>18390.664968146411</v>
      </c>
      <c r="I306" s="147">
        <f t="shared" si="148"/>
        <v>19494.779211918041</v>
      </c>
      <c r="J306" s="147">
        <f t="shared" si="148"/>
        <v>22733.299308928785</v>
      </c>
      <c r="K306" s="147">
        <f t="shared" si="148"/>
        <v>23610.815638035026</v>
      </c>
      <c r="L306" s="147">
        <f t="shared" si="148"/>
        <v>24673.85943398581</v>
      </c>
      <c r="M306" s="149">
        <f>M305</f>
        <v>241608.02001109809</v>
      </c>
    </row>
    <row r="307" spans="1:13" outlineLevel="1"/>
    <row r="308" spans="1:13" outlineLevel="1">
      <c r="A308" s="15" t="s">
        <v>189</v>
      </c>
    </row>
    <row r="309" spans="1:13" outlineLevel="1">
      <c r="A309" s="4" t="s">
        <v>32</v>
      </c>
      <c r="F309" s="4">
        <f ca="1">H163</f>
        <v>16610.491533681361</v>
      </c>
      <c r="G309" s="4">
        <f t="shared" ref="G309:L309" ca="1" si="149">I163</f>
        <v>18450.949562087106</v>
      </c>
      <c r="H309" s="4">
        <f t="shared" ca="1" si="149"/>
        <v>22068.782094054346</v>
      </c>
      <c r="I309" s="4">
        <f t="shared" ca="1" si="149"/>
        <v>24065.933227141923</v>
      </c>
      <c r="J309" s="4">
        <f t="shared" ca="1" si="149"/>
        <v>28092.915232262549</v>
      </c>
      <c r="K309" s="4">
        <f t="shared" ca="1" si="149"/>
        <v>30003.089987609557</v>
      </c>
      <c r="L309" s="4">
        <f t="shared" ca="1" si="149"/>
        <v>32749.691033096366</v>
      </c>
    </row>
    <row r="310" spans="1:13" outlineLevel="1">
      <c r="A310" s="4" t="s">
        <v>174</v>
      </c>
      <c r="F310" s="4">
        <f>F300</f>
        <v>8745.0832000000009</v>
      </c>
      <c r="G310" s="4">
        <f t="shared" ref="G310:L310" si="150">G300</f>
        <v>9059.9061952000029</v>
      </c>
      <c r="H310" s="4">
        <f t="shared" si="150"/>
        <v>9010.6203054981142</v>
      </c>
      <c r="I310" s="4">
        <f t="shared" si="150"/>
        <v>9335.0026364960468</v>
      </c>
      <c r="J310" s="4">
        <f t="shared" si="150"/>
        <v>9268.1017842678248</v>
      </c>
      <c r="K310" s="4">
        <f t="shared" si="150"/>
        <v>8975.5521366426747</v>
      </c>
      <c r="L310" s="4">
        <f t="shared" si="150"/>
        <v>9298.6720135618125</v>
      </c>
    </row>
    <row r="311" spans="1:13" outlineLevel="1">
      <c r="A311" s="4" t="s">
        <v>178</v>
      </c>
      <c r="F311" s="4">
        <f ca="1">-(H171+H172)</f>
        <v>7865.4083336813674</v>
      </c>
      <c r="G311" s="4">
        <f t="shared" ref="G311:L311" ca="1" si="151">-(I171+I172)</f>
        <v>9391.0433668870974</v>
      </c>
      <c r="H311" s="4">
        <f t="shared" ca="1" si="151"/>
        <v>13058.16178855623</v>
      </c>
      <c r="I311" s="4">
        <f t="shared" ca="1" si="151"/>
        <v>14730.930590645879</v>
      </c>
      <c r="J311" s="4">
        <f t="shared" ca="1" si="151"/>
        <v>18824.813447994718</v>
      </c>
      <c r="K311" s="4">
        <f t="shared" ca="1" si="151"/>
        <v>21027.537850966881</v>
      </c>
      <c r="L311" s="4">
        <f t="shared" ca="1" si="151"/>
        <v>23451.019019534549</v>
      </c>
    </row>
    <row r="312" spans="1:13" outlineLevel="1">
      <c r="A312" s="17" t="s">
        <v>179</v>
      </c>
      <c r="B312" s="16"/>
      <c r="C312" s="44"/>
      <c r="D312" s="17"/>
      <c r="E312" s="17"/>
      <c r="F312" s="17">
        <f ca="1">F309-F310-F311</f>
        <v>-7.2759576141834259E-12</v>
      </c>
      <c r="G312" s="17">
        <f t="shared" ref="G312:L312" ca="1" si="152">G309-G310-G311</f>
        <v>0</v>
      </c>
      <c r="H312" s="17">
        <f t="shared" ca="1" si="152"/>
        <v>0</v>
      </c>
      <c r="I312" s="17">
        <f t="shared" ca="1" si="152"/>
        <v>0</v>
      </c>
      <c r="J312" s="17">
        <f t="shared" ca="1" si="152"/>
        <v>0</v>
      </c>
      <c r="K312" s="17">
        <f t="shared" ca="1" si="152"/>
        <v>0</v>
      </c>
      <c r="L312" s="17">
        <f t="shared" ca="1" si="152"/>
        <v>0</v>
      </c>
      <c r="M312" s="17"/>
    </row>
    <row r="313" spans="1:13" outlineLevel="1"/>
    <row r="314" spans="1:13" outlineLevel="1">
      <c r="A314" s="143" t="s">
        <v>196</v>
      </c>
      <c r="B314" s="69"/>
      <c r="C314" s="144"/>
      <c r="D314" s="69"/>
      <c r="E314" s="150">
        <v>0</v>
      </c>
      <c r="F314" s="69">
        <f ca="1">F312*F296</f>
        <v>-5.4569682106375694E-12</v>
      </c>
      <c r="G314" s="69">
        <f t="shared" ref="G314:L314" ca="1" si="153">G312*G296</f>
        <v>0</v>
      </c>
      <c r="H314" s="69">
        <f t="shared" ca="1" si="153"/>
        <v>0</v>
      </c>
      <c r="I314" s="69">
        <f t="shared" ca="1" si="153"/>
        <v>0</v>
      </c>
      <c r="J314" s="69">
        <f t="shared" ca="1" si="153"/>
        <v>0</v>
      </c>
      <c r="K314" s="69">
        <f t="shared" ca="1" si="153"/>
        <v>0</v>
      </c>
      <c r="L314" s="69">
        <f t="shared" ca="1" si="153"/>
        <v>0</v>
      </c>
      <c r="M314" s="145">
        <f ca="1">C325</f>
        <v>221956.93440936483</v>
      </c>
    </row>
    <row r="315" spans="1:13" outlineLevel="1">
      <c r="A315" s="146" t="s">
        <v>197</v>
      </c>
      <c r="B315" s="147"/>
      <c r="C315" s="148"/>
      <c r="D315" s="147"/>
      <c r="E315" s="147">
        <f ca="1">-C57</f>
        <v>-38639.757820383442</v>
      </c>
      <c r="F315" s="147">
        <f ca="1">F314</f>
        <v>-5.4569682106375694E-12</v>
      </c>
      <c r="G315" s="147">
        <f t="shared" ref="G315:L315" ca="1" si="154">G314</f>
        <v>0</v>
      </c>
      <c r="H315" s="147">
        <f t="shared" ca="1" si="154"/>
        <v>0</v>
      </c>
      <c r="I315" s="147">
        <f t="shared" ca="1" si="154"/>
        <v>0</v>
      </c>
      <c r="J315" s="147">
        <f t="shared" ca="1" si="154"/>
        <v>0</v>
      </c>
      <c r="K315" s="147">
        <f t="shared" ca="1" si="154"/>
        <v>0</v>
      </c>
      <c r="L315" s="147">
        <f t="shared" ca="1" si="154"/>
        <v>0</v>
      </c>
      <c r="M315" s="149">
        <f ca="1">M314</f>
        <v>221956.93440936483</v>
      </c>
    </row>
    <row r="316" spans="1:13" outlineLevel="1"/>
    <row r="317" spans="1:13" outlineLevel="1"/>
    <row r="318" spans="1:13" outlineLevel="1">
      <c r="A318" s="72" t="s">
        <v>181</v>
      </c>
      <c r="B318" s="55"/>
      <c r="C318" s="140"/>
      <c r="E318" s="72" t="s">
        <v>188</v>
      </c>
      <c r="F318" s="55"/>
      <c r="G318" s="140"/>
      <c r="H318" s="72"/>
      <c r="J318" s="72" t="s">
        <v>192</v>
      </c>
      <c r="K318" s="55"/>
      <c r="L318" s="140"/>
    </row>
    <row r="319" spans="1:13" outlineLevel="1">
      <c r="A319" s="4" t="s">
        <v>182</v>
      </c>
      <c r="C319" s="139">
        <f>L298+L301</f>
        <v>45586.418870018511</v>
      </c>
      <c r="G319" s="4" t="s">
        <v>190</v>
      </c>
      <c r="H319" s="53" t="s">
        <v>191</v>
      </c>
    </row>
    <row r="320" spans="1:13" outlineLevel="1">
      <c r="A320" s="4" t="s">
        <v>183</v>
      </c>
      <c r="C320" s="8">
        <f>D45</f>
        <v>5.3</v>
      </c>
      <c r="E320" s="4" t="s">
        <v>51</v>
      </c>
      <c r="G320" s="168">
        <v>0.16618227362632756</v>
      </c>
      <c r="H320" s="16">
        <f>XNPV(G320,E305:M305,E295:M295)</f>
        <v>158999.99604435969</v>
      </c>
      <c r="J320" s="4" t="s">
        <v>193</v>
      </c>
      <c r="L320" s="60">
        <f>XIRR(E306:M306,E295:M295)</f>
        <v>0.16618227362632756</v>
      </c>
    </row>
    <row r="321" spans="1:14" outlineLevel="1">
      <c r="A321" s="16" t="s">
        <v>187</v>
      </c>
      <c r="B321" s="16"/>
      <c r="C321" s="44">
        <f>C319*C320</f>
        <v>241608.02001109809</v>
      </c>
      <c r="E321" s="4" t="s">
        <v>189</v>
      </c>
      <c r="G321" s="169">
        <v>0.29518253207206735</v>
      </c>
      <c r="H321" s="4">
        <f ca="1">XNPV(G321,E314:M314,E295:M295)</f>
        <v>38639.758687024114</v>
      </c>
      <c r="J321" s="4" t="s">
        <v>194</v>
      </c>
      <c r="L321" s="60">
        <f ca="1">XIRR(E315:M315,E295:M295)</f>
        <v>0.29518253207206735</v>
      </c>
    </row>
    <row r="322" spans="1:14" outlineLevel="1"/>
    <row r="323" spans="1:14" outlineLevel="1">
      <c r="A323" s="4" t="s">
        <v>184</v>
      </c>
      <c r="C323" s="8">
        <f ca="1">N133</f>
        <v>16000</v>
      </c>
    </row>
    <row r="324" spans="1:14" outlineLevel="1">
      <c r="A324" s="4" t="s">
        <v>185</v>
      </c>
      <c r="C324" s="8">
        <f ca="1">N142+N145</f>
        <v>35651.085601733284</v>
      </c>
    </row>
    <row r="325" spans="1:14" outlineLevel="1">
      <c r="A325" s="16" t="s">
        <v>186</v>
      </c>
      <c r="B325" s="16"/>
      <c r="C325" s="44">
        <f ca="1">C321+C323-C324</f>
        <v>221956.93440936483</v>
      </c>
    </row>
    <row r="326" spans="1:14" outlineLevel="1"/>
    <row r="327" spans="1:14" outlineLevel="1"/>
    <row r="328" spans="1:14" outlineLevel="1">
      <c r="A328" s="62" t="s">
        <v>198</v>
      </c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</row>
    <row r="329" spans="1:14" outlineLevel="1">
      <c r="E329" s="179">
        <f>E295</f>
        <v>43190</v>
      </c>
      <c r="F329" s="179">
        <f t="shared" ref="F329:M329" si="155">F295</f>
        <v>43465</v>
      </c>
      <c r="G329" s="179">
        <f t="shared" si="155"/>
        <v>43830</v>
      </c>
      <c r="H329" s="179">
        <f t="shared" si="155"/>
        <v>44196</v>
      </c>
      <c r="I329" s="179">
        <f t="shared" si="155"/>
        <v>44561</v>
      </c>
      <c r="J329" s="179">
        <f t="shared" si="155"/>
        <v>44926</v>
      </c>
      <c r="K329" s="179">
        <f t="shared" si="155"/>
        <v>45291</v>
      </c>
      <c r="L329" s="179">
        <f t="shared" si="155"/>
        <v>45657</v>
      </c>
      <c r="M329" s="179">
        <f t="shared" si="155"/>
        <v>45657</v>
      </c>
    </row>
    <row r="330" spans="1:14" outlineLevel="1">
      <c r="A330" s="71" t="s">
        <v>203</v>
      </c>
      <c r="B330" s="19"/>
      <c r="C330" s="156" t="s">
        <v>201</v>
      </c>
      <c r="D330" s="22"/>
      <c r="E330" s="178" t="s">
        <v>202</v>
      </c>
      <c r="F330" s="178"/>
      <c r="G330" s="178"/>
      <c r="H330" s="178"/>
      <c r="I330" s="178"/>
      <c r="J330" s="178"/>
      <c r="K330" s="178"/>
      <c r="L330" s="178"/>
      <c r="M330" s="178"/>
    </row>
    <row r="331" spans="1:14" outlineLevel="1">
      <c r="A331" s="16" t="s">
        <v>125</v>
      </c>
      <c r="B331" s="19"/>
      <c r="C331" s="86">
        <f ca="1">XIRR(E331:M331,$E$329:$M$329)</f>
        <v>4.728296101093292E-2</v>
      </c>
      <c r="D331" s="19"/>
      <c r="E331" s="16">
        <f>-G232</f>
        <v>-54000</v>
      </c>
      <c r="F331" s="16">
        <f ca="1">H234+H230+H231</f>
        <v>7965</v>
      </c>
      <c r="G331" s="16">
        <f t="shared" ref="G331:M331" ca="1" si="156">I234+I230+I231</f>
        <v>7695</v>
      </c>
      <c r="H331" s="16">
        <f t="shared" ca="1" si="156"/>
        <v>7425</v>
      </c>
      <c r="I331" s="16">
        <f t="shared" ca="1" si="156"/>
        <v>7155</v>
      </c>
      <c r="J331" s="16">
        <f t="shared" ca="1" si="156"/>
        <v>33210</v>
      </c>
      <c r="K331" s="16">
        <f t="shared" ca="1" si="156"/>
        <v>0</v>
      </c>
      <c r="L331" s="16">
        <f t="shared" ca="1" si="156"/>
        <v>0</v>
      </c>
      <c r="M331" s="16">
        <f t="shared" si="156"/>
        <v>0</v>
      </c>
    </row>
    <row r="332" spans="1:14" outlineLevel="1">
      <c r="A332" s="19" t="s">
        <v>126</v>
      </c>
      <c r="B332" s="19"/>
      <c r="C332" s="106">
        <f t="shared" ref="C332:C334" ca="1" si="157">XIRR(E332:M332,$E$329:$M$329)</f>
        <v>7.2049435973167431E-2</v>
      </c>
      <c r="D332" s="19"/>
      <c r="E332" s="19">
        <f>-G240</f>
        <v>-66000</v>
      </c>
      <c r="F332" s="19">
        <f ca="1">H242+H238+H239</f>
        <v>11302.5</v>
      </c>
      <c r="G332" s="19">
        <f t="shared" ref="G332:M332" ca="1" si="158">I242+I238+I239</f>
        <v>10807.5</v>
      </c>
      <c r="H332" s="19">
        <f t="shared" ca="1" si="158"/>
        <v>10312.5</v>
      </c>
      <c r="I332" s="19">
        <f t="shared" ca="1" si="158"/>
        <v>9817.5</v>
      </c>
      <c r="J332" s="4">
        <f t="shared" ca="1" si="158"/>
        <v>9322.5</v>
      </c>
      <c r="K332" s="4">
        <f t="shared" ca="1" si="158"/>
        <v>34237.5</v>
      </c>
      <c r="L332" s="4">
        <f t="shared" ca="1" si="158"/>
        <v>0</v>
      </c>
      <c r="M332" s="4">
        <f t="shared" si="158"/>
        <v>0</v>
      </c>
    </row>
    <row r="333" spans="1:14" outlineLevel="1">
      <c r="A333" s="19" t="s">
        <v>199</v>
      </c>
      <c r="C333" s="60">
        <f t="shared" ca="1" si="157"/>
        <v>9.9381691217422491E-2</v>
      </c>
      <c r="E333" s="4">
        <f>-G248</f>
        <v>-15000</v>
      </c>
      <c r="F333" s="4">
        <f ca="1">H250+H246+H247</f>
        <v>1500</v>
      </c>
      <c r="G333" s="4">
        <f t="shared" ref="G333:M333" ca="1" si="159">I250+I246+I247</f>
        <v>1500</v>
      </c>
      <c r="H333" s="4">
        <f t="shared" ca="1" si="159"/>
        <v>1500</v>
      </c>
      <c r="I333" s="4">
        <f t="shared" ca="1" si="159"/>
        <v>1500</v>
      </c>
      <c r="J333" s="4">
        <f t="shared" ca="1" si="159"/>
        <v>1500</v>
      </c>
      <c r="K333" s="4">
        <f t="shared" ca="1" si="159"/>
        <v>1500</v>
      </c>
      <c r="L333" s="4">
        <f t="shared" ca="1" si="159"/>
        <v>15750</v>
      </c>
      <c r="M333" s="4">
        <f t="shared" si="159"/>
        <v>0</v>
      </c>
    </row>
    <row r="334" spans="1:14" outlineLevel="1">
      <c r="A334" s="19" t="s">
        <v>135</v>
      </c>
      <c r="C334" s="60">
        <f t="shared" ca="1" si="157"/>
        <v>0.29518253207206735</v>
      </c>
      <c r="E334" s="4">
        <f ca="1">E315</f>
        <v>-38639.757820383442</v>
      </c>
      <c r="F334" s="4">
        <f t="shared" ref="F334:M334" ca="1" si="160">F315</f>
        <v>-5.4569682106375694E-12</v>
      </c>
      <c r="G334" s="4">
        <f t="shared" ca="1" si="160"/>
        <v>0</v>
      </c>
      <c r="H334" s="4">
        <f t="shared" ca="1" si="160"/>
        <v>0</v>
      </c>
      <c r="I334" s="4">
        <f t="shared" ca="1" si="160"/>
        <v>0</v>
      </c>
      <c r="J334" s="4">
        <f t="shared" ca="1" si="160"/>
        <v>0</v>
      </c>
      <c r="K334" s="4">
        <f t="shared" ca="1" si="160"/>
        <v>0</v>
      </c>
      <c r="L334" s="4">
        <f t="shared" ca="1" si="160"/>
        <v>0</v>
      </c>
      <c r="M334" s="4">
        <f t="shared" ca="1" si="160"/>
        <v>221956.93440936483</v>
      </c>
    </row>
    <row r="335" spans="1:14" outlineLevel="1">
      <c r="A335" s="19"/>
      <c r="C335" s="60"/>
    </row>
    <row r="336" spans="1:14" outlineLevel="1">
      <c r="A336" s="19" t="s">
        <v>249</v>
      </c>
      <c r="C336" s="180">
        <f ca="1">SUM(F334:M334)/-E334</f>
        <v>5.7442630836644888</v>
      </c>
    </row>
    <row r="337" spans="1:14" outlineLevel="1">
      <c r="A337" s="19"/>
      <c r="C337" s="180"/>
    </row>
    <row r="338" spans="1:14" outlineLevel="1"/>
    <row r="339" spans="1:14" outlineLevel="1">
      <c r="B339" s="185" t="s">
        <v>248</v>
      </c>
      <c r="C339" s="185"/>
      <c r="D339" s="185"/>
      <c r="E339" s="185"/>
      <c r="F339" s="185"/>
      <c r="G339" s="185"/>
      <c r="I339" s="185"/>
      <c r="J339" s="185"/>
      <c r="K339" s="185"/>
      <c r="L339" s="185"/>
      <c r="M339" s="185"/>
      <c r="N339" s="185"/>
    </row>
    <row r="340" spans="1:14" outlineLevel="1">
      <c r="C340" s="181" t="s">
        <v>236</v>
      </c>
      <c r="D340" s="181"/>
      <c r="E340" s="181"/>
      <c r="F340" s="181"/>
      <c r="G340" s="181"/>
      <c r="J340" s="181"/>
      <c r="K340" s="181"/>
      <c r="L340" s="181"/>
      <c r="M340" s="181"/>
      <c r="N340" s="181"/>
    </row>
    <row r="341" spans="1:14" outlineLevel="1">
      <c r="B341" s="182">
        <f ca="1">C334</f>
        <v>0.29518253207206735</v>
      </c>
      <c r="C341" s="183">
        <v>5</v>
      </c>
      <c r="D341" s="183">
        <v>5.5</v>
      </c>
      <c r="E341" s="183">
        <v>6</v>
      </c>
      <c r="F341" s="183">
        <v>6.5</v>
      </c>
      <c r="G341" s="183">
        <v>7</v>
      </c>
      <c r="I341" s="182"/>
      <c r="J341" s="183"/>
      <c r="K341" s="183"/>
      <c r="L341" s="183"/>
      <c r="M341" s="183"/>
      <c r="N341" s="183"/>
    </row>
    <row r="342" spans="1:14" outlineLevel="1">
      <c r="B342" s="184">
        <v>5</v>
      </c>
      <c r="C342" s="86">
        <f t="dataTable" ref="C342:G347" dt2D="1" dtr="1" r1="D44" r2="D45" ca="1"/>
        <v>0.33493562340736394</v>
      </c>
      <c r="D342" s="86">
        <v>0.25571615099906919</v>
      </c>
      <c r="E342" s="86">
        <v>0.20268018841743474</v>
      </c>
      <c r="F342" s="86">
        <v>0.16321169734001165</v>
      </c>
      <c r="G342" s="86">
        <v>0.1319876372814178</v>
      </c>
      <c r="I342" s="184"/>
      <c r="J342" s="186"/>
      <c r="K342" s="186"/>
      <c r="L342" s="186"/>
      <c r="M342" s="186"/>
      <c r="N342" s="186"/>
    </row>
    <row r="343" spans="1:14" outlineLevel="1">
      <c r="B343" s="184">
        <v>5.5</v>
      </c>
      <c r="C343" s="60">
        <v>0.35560534596443183</v>
      </c>
      <c r="D343" s="60">
        <v>0.2751592576503753</v>
      </c>
      <c r="E343" s="60">
        <v>0.22130210995674129</v>
      </c>
      <c r="F343" s="60">
        <v>0.18122250437736515</v>
      </c>
      <c r="G343" s="60">
        <v>0.14951496720314031</v>
      </c>
      <c r="I343" s="184"/>
      <c r="J343" s="187"/>
      <c r="K343" s="187"/>
      <c r="L343" s="187"/>
      <c r="M343" s="187"/>
      <c r="N343" s="187"/>
    </row>
    <row r="344" spans="1:14" outlineLevel="1">
      <c r="B344" s="184">
        <v>6</v>
      </c>
      <c r="C344" s="60">
        <v>0.37460514903068542</v>
      </c>
      <c r="D344" s="60">
        <v>0.29303154349327099</v>
      </c>
      <c r="E344" s="60">
        <v>0.23841955065727233</v>
      </c>
      <c r="F344" s="60">
        <v>0.197778195142746</v>
      </c>
      <c r="G344" s="60">
        <v>0.16562625765800479</v>
      </c>
      <c r="I344" s="184"/>
      <c r="J344" s="187"/>
      <c r="K344" s="187"/>
      <c r="L344" s="187"/>
      <c r="M344" s="187"/>
      <c r="N344" s="187"/>
    </row>
    <row r="345" spans="1:14" outlineLevel="1">
      <c r="B345" s="184">
        <v>6.5</v>
      </c>
      <c r="C345" s="60">
        <v>0.39220306277275097</v>
      </c>
      <c r="D345" s="60">
        <v>0.30958514809608473</v>
      </c>
      <c r="E345" s="60">
        <v>0.2542740046977997</v>
      </c>
      <c r="F345" s="60">
        <v>0.21311234831810003</v>
      </c>
      <c r="G345" s="60">
        <v>0.18054880499839784</v>
      </c>
      <c r="I345" s="184"/>
      <c r="J345" s="187"/>
      <c r="K345" s="187"/>
      <c r="L345" s="187"/>
      <c r="M345" s="187"/>
      <c r="N345" s="187"/>
    </row>
    <row r="346" spans="1:14" outlineLevel="1">
      <c r="B346" s="184">
        <v>7</v>
      </c>
      <c r="C346" s="60">
        <v>0.40860616564750674</v>
      </c>
      <c r="D346" s="60">
        <v>0.32501483559608468</v>
      </c>
      <c r="E346" s="60">
        <v>0.26905199885368347</v>
      </c>
      <c r="F346" s="60">
        <v>0.22740537524223325</v>
      </c>
      <c r="G346" s="60">
        <v>0.19445815682411197</v>
      </c>
      <c r="I346" s="184"/>
      <c r="J346" s="187"/>
      <c r="K346" s="187"/>
      <c r="L346" s="187"/>
      <c r="M346" s="187"/>
      <c r="N346" s="187"/>
    </row>
    <row r="347" spans="1:14" outlineLevel="1">
      <c r="C347" s="4" t="e">
        <v>#NUM!</v>
      </c>
      <c r="D347" s="4" t="e">
        <v>#NUM!</v>
      </c>
      <c r="E347" s="4" t="e">
        <v>#NUM!</v>
      </c>
      <c r="F347" s="4" t="e">
        <v>#NUM!</v>
      </c>
      <c r="G347" s="4" t="e">
        <v>#NUM!</v>
      </c>
    </row>
    <row r="348" spans="1:14" outlineLevel="1">
      <c r="C348" s="4"/>
    </row>
    <row r="349" spans="1:14" outlineLevel="1">
      <c r="B349" s="185"/>
      <c r="C349" s="185"/>
      <c r="D349" s="185"/>
      <c r="E349" s="185"/>
      <c r="F349" s="185"/>
      <c r="G349" s="185"/>
      <c r="I349" s="185"/>
      <c r="J349" s="185"/>
      <c r="K349" s="185"/>
      <c r="L349" s="185"/>
      <c r="M349" s="185"/>
      <c r="N349" s="185"/>
    </row>
    <row r="350" spans="1:14" outlineLevel="1">
      <c r="C350" s="181"/>
      <c r="D350" s="181"/>
      <c r="E350" s="181"/>
      <c r="F350" s="181"/>
      <c r="G350" s="181"/>
      <c r="J350" s="181"/>
      <c r="K350" s="181"/>
      <c r="L350" s="181"/>
      <c r="M350" s="181"/>
      <c r="N350" s="181"/>
    </row>
    <row r="351" spans="1:14" outlineLevel="1">
      <c r="B351" s="182"/>
      <c r="C351" s="183"/>
      <c r="D351" s="183"/>
      <c r="E351" s="183"/>
      <c r="F351" s="183"/>
      <c r="G351" s="183"/>
      <c r="I351" s="182"/>
      <c r="J351" s="183"/>
      <c r="K351" s="183"/>
      <c r="L351" s="183"/>
      <c r="M351" s="183"/>
      <c r="N351" s="183"/>
    </row>
    <row r="352" spans="1:14" outlineLevel="1">
      <c r="B352" s="184"/>
      <c r="C352" s="86"/>
      <c r="D352" s="86"/>
      <c r="E352" s="86"/>
      <c r="F352" s="86"/>
      <c r="G352" s="86"/>
      <c r="I352" s="184"/>
      <c r="J352" s="186"/>
      <c r="K352" s="186"/>
      <c r="L352" s="186"/>
      <c r="M352" s="186"/>
      <c r="N352" s="186"/>
    </row>
    <row r="353" spans="1:14" outlineLevel="1">
      <c r="B353" s="184"/>
      <c r="C353" s="60"/>
      <c r="D353" s="60"/>
      <c r="E353" s="60"/>
      <c r="F353" s="60"/>
      <c r="G353" s="60"/>
      <c r="I353" s="184"/>
      <c r="J353" s="187"/>
      <c r="K353" s="187"/>
      <c r="L353" s="187"/>
      <c r="M353" s="187"/>
      <c r="N353" s="187"/>
    </row>
    <row r="354" spans="1:14" outlineLevel="1">
      <c r="B354" s="184"/>
      <c r="C354" s="60"/>
      <c r="D354" s="60"/>
      <c r="E354" s="60"/>
      <c r="F354" s="60"/>
      <c r="G354" s="60"/>
      <c r="I354" s="184"/>
      <c r="J354" s="187"/>
      <c r="K354" s="187"/>
      <c r="L354" s="187"/>
      <c r="M354" s="187"/>
      <c r="N354" s="187"/>
    </row>
    <row r="355" spans="1:14" outlineLevel="1">
      <c r="B355" s="184"/>
      <c r="C355" s="60"/>
      <c r="D355" s="60"/>
      <c r="E355" s="60"/>
      <c r="F355" s="60"/>
      <c r="G355" s="60"/>
      <c r="I355" s="184"/>
      <c r="J355" s="187"/>
      <c r="K355" s="187"/>
      <c r="L355" s="187"/>
      <c r="M355" s="187"/>
      <c r="N355" s="187"/>
    </row>
    <row r="356" spans="1:14" outlineLevel="1">
      <c r="B356" s="184"/>
      <c r="C356" s="60"/>
      <c r="D356" s="60"/>
      <c r="E356" s="60"/>
      <c r="F356" s="60"/>
      <c r="G356" s="60"/>
      <c r="I356" s="184"/>
      <c r="J356" s="187"/>
      <c r="K356" s="187"/>
      <c r="L356" s="187"/>
      <c r="M356" s="187"/>
      <c r="N356" s="187"/>
    </row>
    <row r="357" spans="1:14" outlineLevel="1"/>
    <row r="359" spans="1:14" ht="20">
      <c r="A359" s="10" t="s">
        <v>212</v>
      </c>
      <c r="B359" s="11"/>
      <c r="C359" s="12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</row>
    <row r="360" spans="1:14" outlineLevel="1">
      <c r="D360" s="9"/>
      <c r="E360" s="9"/>
      <c r="F360" s="9"/>
      <c r="G360" s="9"/>
      <c r="H360" s="9"/>
      <c r="I360" s="9"/>
      <c r="J360" s="9"/>
      <c r="K360" s="9"/>
      <c r="L360" s="9"/>
      <c r="M360" s="9"/>
    </row>
    <row r="361" spans="1:14" outlineLevel="1">
      <c r="A361" s="62" t="s">
        <v>28</v>
      </c>
      <c r="B361" s="62"/>
      <c r="C361" s="63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</row>
    <row r="362" spans="1:14" outlineLevel="1">
      <c r="E362" s="157"/>
      <c r="F362" s="157"/>
      <c r="G362" s="157"/>
      <c r="H362" s="157"/>
      <c r="I362" s="157"/>
      <c r="J362" s="157"/>
      <c r="K362" s="157"/>
    </row>
    <row r="363" spans="1:14" outlineLevel="1">
      <c r="A363" s="4" t="s">
        <v>32</v>
      </c>
    </row>
    <row r="364" spans="1:14" outlineLevel="1">
      <c r="A364" s="4" t="s">
        <v>204</v>
      </c>
    </row>
    <row r="365" spans="1:14" outlineLevel="1">
      <c r="A365" s="4" t="s">
        <v>205</v>
      </c>
    </row>
    <row r="366" spans="1:14" outlineLevel="1">
      <c r="A366" s="4" t="s">
        <v>206</v>
      </c>
    </row>
    <row r="367" spans="1:14" outlineLevel="1"/>
    <row r="368" spans="1:14" outlineLevel="1">
      <c r="A368" s="4" t="s">
        <v>98</v>
      </c>
    </row>
    <row r="369" spans="1:11" outlineLevel="1">
      <c r="A369" s="4" t="s">
        <v>207</v>
      </c>
      <c r="E369" s="139"/>
      <c r="F369" s="139"/>
      <c r="G369" s="139"/>
      <c r="H369" s="139"/>
      <c r="I369" s="139"/>
      <c r="J369" s="139"/>
      <c r="K369" s="139"/>
    </row>
    <row r="370" spans="1:11" outlineLevel="1">
      <c r="A370" s="4" t="s">
        <v>211</v>
      </c>
      <c r="E370" s="139"/>
      <c r="F370" s="139"/>
      <c r="G370" s="139"/>
      <c r="H370" s="139"/>
      <c r="I370" s="139"/>
      <c r="J370" s="139"/>
      <c r="K370" s="139"/>
    </row>
    <row r="371" spans="1:11" outlineLevel="1"/>
    <row r="372" spans="1:11" outlineLevel="1"/>
    <row r="373" spans="1:11" outlineLevel="1"/>
    <row r="374" spans="1:11" outlineLevel="1"/>
    <row r="375" spans="1:11" outlineLevel="1"/>
    <row r="376" spans="1:11" outlineLevel="1"/>
    <row r="377" spans="1:11" outlineLevel="1"/>
    <row r="378" spans="1:11" outlineLevel="1"/>
    <row r="379" spans="1:11" outlineLevel="1"/>
    <row r="380" spans="1:11" outlineLevel="1"/>
    <row r="381" spans="1:11" outlineLevel="1"/>
    <row r="382" spans="1:11" outlineLevel="1"/>
    <row r="383" spans="1:11" outlineLevel="1"/>
    <row r="384" spans="1:11" outlineLevel="1"/>
    <row r="385" outlineLevel="1"/>
    <row r="386" outlineLevel="1"/>
    <row r="387" outlineLevel="1"/>
    <row r="388" outlineLevel="1"/>
    <row r="389" outlineLevel="1"/>
    <row r="390" outlineLevel="1"/>
    <row r="391" outlineLevel="1"/>
    <row r="392" outlineLevel="1"/>
    <row r="393" outlineLevel="1"/>
  </sheetData>
  <conditionalFormatting sqref="D3:N3 D86:F101">
    <cfRule type="containsText" dxfId="35" priority="41" operator="containsText" text="OK">
      <formula>NOT(ISERROR(SEARCH("OK",D3)))</formula>
    </cfRule>
    <cfRule type="containsText" dxfId="34" priority="42" operator="containsText" text="ERROR">
      <formula>NOT(ISERROR(SEARCH("ERROR",D3)))</formula>
    </cfRule>
  </conditionalFormatting>
  <conditionalFormatting sqref="D5:M5">
    <cfRule type="containsText" dxfId="33" priority="39" operator="containsText" text="OK">
      <formula>NOT(ISERROR(SEARCH("OK",D5)))</formula>
    </cfRule>
    <cfRule type="containsText" dxfId="32" priority="40" operator="containsText" text="ERROR">
      <formula>NOT(ISERROR(SEARCH("ERROR",D5)))</formula>
    </cfRule>
  </conditionalFormatting>
  <conditionalFormatting sqref="D262:M262">
    <cfRule type="containsText" dxfId="31" priority="37" operator="containsText" text="OK">
      <formula>NOT(ISERROR(SEARCH("OK",D262)))</formula>
    </cfRule>
    <cfRule type="containsText" dxfId="30" priority="38" operator="containsText" text="ERROR">
      <formula>NOT(ISERROR(SEARCH("ERROR",D262)))</formula>
    </cfRule>
  </conditionalFormatting>
  <conditionalFormatting sqref="D112:N112">
    <cfRule type="containsText" dxfId="29" priority="35" operator="containsText" text="OK">
      <formula>NOT(ISERROR(SEARCH("OK",D112)))</formula>
    </cfRule>
    <cfRule type="containsText" dxfId="28" priority="36" operator="containsText" text="ERROR">
      <formula>NOT(ISERROR(SEARCH("ERROR",D112)))</formula>
    </cfRule>
  </conditionalFormatting>
  <conditionalFormatting sqref="D103:F103">
    <cfRule type="containsText" dxfId="27" priority="33" operator="containsText" text="OK">
      <formula>NOT(ISERROR(SEARCH("OK",D103)))</formula>
    </cfRule>
    <cfRule type="containsText" dxfId="26" priority="34" operator="containsText" text="ERROR">
      <formula>NOT(ISERROR(SEARCH("ERROR",D103)))</formula>
    </cfRule>
  </conditionalFormatting>
  <conditionalFormatting sqref="D202:N202">
    <cfRule type="containsText" dxfId="25" priority="27" operator="containsText" text="OK">
      <formula>NOT(ISERROR(SEARCH("OK",D202)))</formula>
    </cfRule>
    <cfRule type="containsText" dxfId="24" priority="28" operator="containsText" text="ERROR">
      <formula>NOT(ISERROR(SEARCH("ERROR",D202)))</formula>
    </cfRule>
  </conditionalFormatting>
  <conditionalFormatting sqref="D184:N184">
    <cfRule type="containsText" dxfId="23" priority="25" operator="containsText" text="OK">
      <formula>NOT(ISERROR(SEARCH("OK",D184)))</formula>
    </cfRule>
    <cfRule type="containsText" dxfId="22" priority="26" operator="containsText" text="ERROR">
      <formula>NOT(ISERROR(SEARCH("ERROR",D184)))</formula>
    </cfRule>
  </conditionalFormatting>
  <conditionalFormatting sqref="D85:N85 D84:F84">
    <cfRule type="containsText" dxfId="21" priority="23" operator="containsText" text="OK">
      <formula>NOT(ISERROR(SEARCH("OK",D84)))</formula>
    </cfRule>
    <cfRule type="containsText" dxfId="20" priority="24" operator="containsText" text="ERROR">
      <formula>NOT(ISERROR(SEARCH("ERROR",D84)))</formula>
    </cfRule>
  </conditionalFormatting>
  <conditionalFormatting sqref="D292:M292">
    <cfRule type="containsText" dxfId="19" priority="21" operator="containsText" text="OK">
      <formula>NOT(ISERROR(SEARCH("OK",D292)))</formula>
    </cfRule>
    <cfRule type="containsText" dxfId="18" priority="22" operator="containsText" text="ERROR">
      <formula>NOT(ISERROR(SEARCH("ERROR",D292)))</formula>
    </cfRule>
  </conditionalFormatting>
  <conditionalFormatting sqref="F294:L294">
    <cfRule type="containsText" dxfId="17" priority="19" operator="containsText" text="OK">
      <formula>NOT(ISERROR(SEARCH("OK",F294)))</formula>
    </cfRule>
    <cfRule type="containsText" dxfId="16" priority="20" operator="containsText" text="ERROR">
      <formula>NOT(ISERROR(SEARCH("ERROR",F294)))</formula>
    </cfRule>
  </conditionalFormatting>
  <conditionalFormatting sqref="E294:E295">
    <cfRule type="containsText" dxfId="15" priority="17" operator="containsText" text="OK">
      <formula>NOT(ISERROR(SEARCH("OK",E294)))</formula>
    </cfRule>
    <cfRule type="containsText" dxfId="14" priority="18" operator="containsText" text="ERROR">
      <formula>NOT(ISERROR(SEARCH("ERROR",E294)))</formula>
    </cfRule>
  </conditionalFormatting>
  <conditionalFormatting sqref="M294 M296">
    <cfRule type="containsText" dxfId="13" priority="15" operator="containsText" text="OK">
      <formula>NOT(ISERROR(SEARCH("OK",M294)))</formula>
    </cfRule>
    <cfRule type="containsText" dxfId="12" priority="16" operator="containsText" text="ERROR">
      <formula>NOT(ISERROR(SEARCH("ERROR",M294)))</formula>
    </cfRule>
  </conditionalFormatting>
  <conditionalFormatting sqref="F295:M295">
    <cfRule type="containsText" dxfId="11" priority="13" operator="containsText" text="OK">
      <formula>NOT(ISERROR(SEARCH("OK",F295)))</formula>
    </cfRule>
    <cfRule type="containsText" dxfId="10" priority="14" operator="containsText" text="ERROR">
      <formula>NOT(ISERROR(SEARCH("ERROR",F295)))</formula>
    </cfRule>
  </conditionalFormatting>
  <conditionalFormatting sqref="D360:M360">
    <cfRule type="containsText" dxfId="9" priority="9" operator="containsText" text="OK">
      <formula>NOT(ISERROR(SEARCH("OK",D360)))</formula>
    </cfRule>
    <cfRule type="containsText" dxfId="8" priority="10" operator="containsText" text="ERROR">
      <formula>NOT(ISERROR(SEARCH("ERROR",D360)))</formula>
    </cfRule>
  </conditionalFormatting>
  <conditionalFormatting sqref="D111:N111">
    <cfRule type="containsText" dxfId="7" priority="7" operator="containsText" text="OK">
      <formula>NOT(ISERROR(SEARCH("OK",D111)))</formula>
    </cfRule>
    <cfRule type="containsText" dxfId="6" priority="8" operator="containsText" text="ERROR">
      <formula>NOT(ISERROR(SEARCH("ERROR",D111)))</formula>
    </cfRule>
  </conditionalFormatting>
  <conditionalFormatting sqref="G84:N84">
    <cfRule type="containsText" dxfId="5" priority="5" operator="containsText" text="OK">
      <formula>NOT(ISERROR(SEARCH("OK",G84)))</formula>
    </cfRule>
    <cfRule type="containsText" dxfId="4" priority="6" operator="containsText" text="ERROR">
      <formula>NOT(ISERROR(SEARCH("ERROR",G84)))</formula>
    </cfRule>
  </conditionalFormatting>
  <conditionalFormatting sqref="D130:N130">
    <cfRule type="containsText" dxfId="3" priority="3" operator="containsText" text="OK">
      <formula>NOT(ISERROR(SEARCH("OK",D130)))</formula>
    </cfRule>
    <cfRule type="containsText" dxfId="2" priority="4" operator="containsText" text="ERROR">
      <formula>NOT(ISERROR(SEARCH("ERROR",D130)))</formula>
    </cfRule>
  </conditionalFormatting>
  <conditionalFormatting sqref="D157:N157">
    <cfRule type="containsText" dxfId="1" priority="1" operator="containsText" text="OK">
      <formula>NOT(ISERROR(SEARCH("OK",D157)))</formula>
    </cfRule>
    <cfRule type="containsText" dxfId="0" priority="2" operator="containsText" text="ERROR">
      <formula>NOT(ISERROR(SEARCH("ERROR",D157)))</formula>
    </cfRule>
  </conditionalFormatting>
  <dataValidations count="2">
    <dataValidation type="list" allowBlank="1" showInputMessage="1" showErrorMessage="1" sqref="G2" xr:uid="{9D6F62F2-7E30-7F4C-A77D-AEBC1645E844}">
      <formula1>$H$7:$J$7</formula1>
    </dataValidation>
    <dataValidation type="list" allowBlank="1" showInputMessage="1" showErrorMessage="1" sqref="C47" xr:uid="{49FD2C66-CB2D-FD40-A5E4-EBBFF8FDF430}">
      <formula1>"OFF, ON"</formula1>
    </dataValidation>
  </dataValidations>
  <pageMargins left="0.7" right="0.7" top="0.75" bottom="0.75" header="0.3" footer="0.3"/>
  <pageSetup scale="61" orientation="landscape" r:id="rId1"/>
  <ignoredErrors>
    <ignoredError sqref="A8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Leveraged Buyout (LBO) Model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2020-06-01T18:21:34Z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