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filterPrivacy="1" codeName="ThisWorkbook"/>
  <xr:revisionPtr revIDLastSave="0" documentId="13_ncr:1_{B6E86FB1-40E1-EC4A-8B45-C64CD4F0848A}" xr6:coauthVersionLast="45" xr6:coauthVersionMax="45" xr10:uidLastSave="{00000000-0000-0000-0000-000000000000}"/>
  <bookViews>
    <workbookView xWindow="0" yWindow="0" windowWidth="28800" windowHeight="18000" tabRatio="514" activeTab="1" xr2:uid="{00000000-000D-0000-FFFF-FFFF00000000}"/>
  </bookViews>
  <sheets>
    <sheet name="Cover Page" sheetId="7" r:id="rId1"/>
    <sheet name="Leveraged Buyout (LBO) Model" sheetId="9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Page'!$A$1:$P$27</definedName>
  </definedNames>
  <calcPr calcId="191029" iterate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9" l="1"/>
  <c r="H39" i="9"/>
  <c r="G7" i="9"/>
  <c r="H68" i="9" l="1"/>
  <c r="C239" i="9"/>
  <c r="A236" i="9"/>
  <c r="C231" i="9"/>
  <c r="A228" i="9"/>
  <c r="A220" i="9"/>
  <c r="A8" i="9" l="1"/>
  <c r="I353" i="9" l="1"/>
  <c r="I354" i="9" s="1"/>
  <c r="I355" i="9" s="1"/>
  <c r="I356" i="9" s="1"/>
  <c r="I343" i="9"/>
  <c r="I344" i="9" s="1"/>
  <c r="I345" i="9" s="1"/>
  <c r="I346" i="9" s="1"/>
  <c r="K351" i="9"/>
  <c r="L351" i="9" s="1"/>
  <c r="M351" i="9" s="1"/>
  <c r="N351" i="9" s="1"/>
  <c r="K341" i="9"/>
  <c r="L341" i="9" s="1"/>
  <c r="M341" i="9" s="1"/>
  <c r="N341" i="9" s="1"/>
  <c r="B353" i="9"/>
  <c r="B354" i="9" s="1"/>
  <c r="B355" i="9" s="1"/>
  <c r="B356" i="9" s="1"/>
  <c r="D351" i="9"/>
  <c r="E351" i="9" s="1"/>
  <c r="F351" i="9" s="1"/>
  <c r="G351" i="9" s="1"/>
  <c r="B343" i="9"/>
  <c r="B344" i="9" s="1"/>
  <c r="B345" i="9" s="1"/>
  <c r="B346" i="9" s="1"/>
  <c r="D341" i="9"/>
  <c r="E341" i="9" s="1"/>
  <c r="F341" i="9" s="1"/>
  <c r="G341" i="9" s="1"/>
  <c r="M331" i="9"/>
  <c r="M332" i="9"/>
  <c r="M333" i="9"/>
  <c r="A334" i="9"/>
  <c r="A333" i="9"/>
  <c r="A332" i="9"/>
  <c r="A331" i="9"/>
  <c r="C320" i="9"/>
  <c r="E295" i="9"/>
  <c r="F294" i="9"/>
  <c r="G294" i="9" s="1"/>
  <c r="H84" i="9"/>
  <c r="I84" i="9" s="1"/>
  <c r="J84" i="9" s="1"/>
  <c r="K84" i="9" s="1"/>
  <c r="L84" i="9" s="1"/>
  <c r="M84" i="9" s="1"/>
  <c r="N84" i="9" s="1"/>
  <c r="G295" i="9" l="1"/>
  <c r="H294" i="9"/>
  <c r="E329" i="9"/>
  <c r="F295" i="9"/>
  <c r="C247" i="9"/>
  <c r="I213" i="9"/>
  <c r="J213" i="9"/>
  <c r="K213" i="9"/>
  <c r="L213" i="9"/>
  <c r="M213" i="9"/>
  <c r="N213" i="9"/>
  <c r="H213" i="9"/>
  <c r="G296" i="9" l="1"/>
  <c r="F329" i="9"/>
  <c r="F296" i="9"/>
  <c r="H295" i="9"/>
  <c r="I294" i="9"/>
  <c r="G329" i="9"/>
  <c r="H202" i="9"/>
  <c r="I202" i="9" s="1"/>
  <c r="J202" i="9" s="1"/>
  <c r="K202" i="9" s="1"/>
  <c r="L202" i="9" s="1"/>
  <c r="M202" i="9" s="1"/>
  <c r="N202" i="9" s="1"/>
  <c r="I295" i="9" l="1"/>
  <c r="I296" i="9" s="1"/>
  <c r="J294" i="9"/>
  <c r="H329" i="9"/>
  <c r="H296" i="9"/>
  <c r="G202" i="9"/>
  <c r="F202" i="9" s="1"/>
  <c r="E202" i="9" s="1"/>
  <c r="D202" i="9" s="1"/>
  <c r="K278" i="9"/>
  <c r="K272" i="9"/>
  <c r="K270" i="9"/>
  <c r="K269" i="9"/>
  <c r="D283" i="9"/>
  <c r="D280" i="9"/>
  <c r="F280" i="9" s="1"/>
  <c r="D278" i="9"/>
  <c r="F278" i="9" s="1"/>
  <c r="D277" i="9"/>
  <c r="F277" i="9" s="1"/>
  <c r="D273" i="9"/>
  <c r="F273" i="9" s="1"/>
  <c r="D272" i="9"/>
  <c r="D270" i="9"/>
  <c r="D269" i="9"/>
  <c r="D20" i="9"/>
  <c r="D38" i="9" s="1"/>
  <c r="F78" i="9"/>
  <c r="D77" i="9"/>
  <c r="F77" i="9" s="1"/>
  <c r="E272" i="9" s="1"/>
  <c r="D76" i="9"/>
  <c r="F76" i="9" s="1"/>
  <c r="E270" i="9" s="1"/>
  <c r="D75" i="9"/>
  <c r="F75" i="9" s="1"/>
  <c r="E269" i="9" s="1"/>
  <c r="F196" i="9"/>
  <c r="G196" i="9"/>
  <c r="E196" i="9"/>
  <c r="D196" i="9"/>
  <c r="D198" i="9"/>
  <c r="E195" i="9" s="1"/>
  <c r="E187" i="9"/>
  <c r="F187" i="9"/>
  <c r="G187" i="9"/>
  <c r="E188" i="9"/>
  <c r="F188" i="9"/>
  <c r="G188" i="9"/>
  <c r="E189" i="9"/>
  <c r="F189" i="9"/>
  <c r="G189" i="9"/>
  <c r="D189" i="9"/>
  <c r="D188" i="9"/>
  <c r="D187" i="9"/>
  <c r="H184" i="9"/>
  <c r="I184" i="9" s="1"/>
  <c r="J184" i="9" s="1"/>
  <c r="K184" i="9" s="1"/>
  <c r="L184" i="9" s="1"/>
  <c r="M184" i="9" s="1"/>
  <c r="N184" i="9" s="1"/>
  <c r="E161" i="9"/>
  <c r="E197" i="9" s="1"/>
  <c r="F161" i="9"/>
  <c r="F197" i="9" s="1"/>
  <c r="G161" i="9"/>
  <c r="G197" i="9" s="1"/>
  <c r="D161" i="9"/>
  <c r="D197" i="9" s="1"/>
  <c r="E176" i="9"/>
  <c r="F176" i="9"/>
  <c r="G176" i="9"/>
  <c r="D176" i="9"/>
  <c r="E168" i="9"/>
  <c r="F168" i="9"/>
  <c r="G168" i="9"/>
  <c r="D168" i="9"/>
  <c r="D150" i="9"/>
  <c r="E144" i="9"/>
  <c r="E146" i="9" s="1"/>
  <c r="F144" i="9"/>
  <c r="F146" i="9" s="1"/>
  <c r="G144" i="9"/>
  <c r="G146" i="9" s="1"/>
  <c r="D144" i="9"/>
  <c r="D146" i="9" s="1"/>
  <c r="E115" i="9"/>
  <c r="E119" i="9" s="1"/>
  <c r="E122" i="9" s="1"/>
  <c r="E126" i="9" s="1"/>
  <c r="F115" i="9"/>
  <c r="F119" i="9" s="1"/>
  <c r="F122" i="9" s="1"/>
  <c r="F126" i="9" s="1"/>
  <c r="F160" i="9" s="1"/>
  <c r="G115" i="9"/>
  <c r="G119" i="9" s="1"/>
  <c r="G122" i="9" s="1"/>
  <c r="G126" i="9" s="1"/>
  <c r="G160" i="9" s="1"/>
  <c r="D115" i="9"/>
  <c r="D119" i="9" s="1"/>
  <c r="D122" i="9" s="1"/>
  <c r="D126" i="9" s="1"/>
  <c r="D160" i="9" s="1"/>
  <c r="H157" i="9"/>
  <c r="H130" i="9"/>
  <c r="I130" i="9" s="1"/>
  <c r="J130" i="9" s="1"/>
  <c r="K130" i="9" s="1"/>
  <c r="L130" i="9" s="1"/>
  <c r="M130" i="9" s="1"/>
  <c r="N130" i="9" s="1"/>
  <c r="H111" i="9"/>
  <c r="G111" i="9" s="1"/>
  <c r="F111" i="9" s="1"/>
  <c r="E111" i="9" s="1"/>
  <c r="D111" i="9" s="1"/>
  <c r="A2" i="9"/>
  <c r="A68" i="9"/>
  <c r="A67" i="9"/>
  <c r="A244" i="9" s="1"/>
  <c r="A66" i="9"/>
  <c r="A65" i="9"/>
  <c r="A64" i="9"/>
  <c r="A63" i="9"/>
  <c r="G58" i="9"/>
  <c r="D32" i="9" s="1"/>
  <c r="C54" i="9"/>
  <c r="G232" i="9" s="1"/>
  <c r="C55" i="9"/>
  <c r="G240" i="9" s="1"/>
  <c r="C56" i="9"/>
  <c r="C53" i="9"/>
  <c r="G224" i="9" s="1"/>
  <c r="H221" i="9" s="1"/>
  <c r="B58" i="9"/>
  <c r="I51" i="9"/>
  <c r="J51" i="9" s="1"/>
  <c r="K51" i="9" s="1"/>
  <c r="L51" i="9" s="1"/>
  <c r="M51" i="9" s="1"/>
  <c r="N51" i="9" s="1"/>
  <c r="J7" i="9"/>
  <c r="I7" i="9"/>
  <c r="H7" i="9"/>
  <c r="N47" i="9" s="1"/>
  <c r="H6" i="9"/>
  <c r="I6" i="9" s="1"/>
  <c r="J6" i="9" s="1"/>
  <c r="K6" i="9" s="1"/>
  <c r="L6" i="9" s="1"/>
  <c r="M6" i="9" s="1"/>
  <c r="N6" i="9" s="1"/>
  <c r="A27" i="9"/>
  <c r="A21" i="9"/>
  <c r="A20" i="9"/>
  <c r="H237" i="9" l="1"/>
  <c r="H229" i="9"/>
  <c r="D151" i="9"/>
  <c r="I157" i="9"/>
  <c r="E362" i="9"/>
  <c r="J295" i="9"/>
  <c r="J296" i="9" s="1"/>
  <c r="K294" i="9"/>
  <c r="I329" i="9"/>
  <c r="C64" i="9"/>
  <c r="C67" i="9"/>
  <c r="G248" i="9"/>
  <c r="E333" i="9" s="1"/>
  <c r="C66" i="9"/>
  <c r="E332" i="9"/>
  <c r="C65" i="9"/>
  <c r="E331" i="9"/>
  <c r="H191" i="9"/>
  <c r="H65" i="9"/>
  <c r="F269" i="9"/>
  <c r="L269" i="9" s="1"/>
  <c r="J277" i="9"/>
  <c r="L278" i="9"/>
  <c r="D279" i="9"/>
  <c r="D281" i="9" s="1"/>
  <c r="F272" i="9"/>
  <c r="L272" i="9" s="1"/>
  <c r="H195" i="9" s="1"/>
  <c r="F270" i="9"/>
  <c r="L270" i="9" s="1"/>
  <c r="J280" i="9"/>
  <c r="E198" i="9"/>
  <c r="F195" i="9" s="1"/>
  <c r="F198" i="9" s="1"/>
  <c r="G195" i="9" s="1"/>
  <c r="G198" i="9" s="1"/>
  <c r="H277" i="9"/>
  <c r="G190" i="9"/>
  <c r="F283" i="9"/>
  <c r="G283" i="9" s="1"/>
  <c r="H280" i="9"/>
  <c r="D190" i="9"/>
  <c r="D192" i="9" s="1"/>
  <c r="D162" i="9" s="1"/>
  <c r="D163" i="9" s="1"/>
  <c r="D178" i="9" s="1"/>
  <c r="D180" i="9" s="1"/>
  <c r="G184" i="9"/>
  <c r="F184" i="9" s="1"/>
  <c r="E184" i="9" s="1"/>
  <c r="D184" i="9" s="1"/>
  <c r="E149" i="9"/>
  <c r="E160" i="9"/>
  <c r="D195" i="9"/>
  <c r="I111" i="9"/>
  <c r="J111" i="9" s="1"/>
  <c r="K111" i="9" s="1"/>
  <c r="L111" i="9" s="1"/>
  <c r="M111" i="9" s="1"/>
  <c r="N111" i="9" s="1"/>
  <c r="F190" i="9"/>
  <c r="E190" i="9"/>
  <c r="G130" i="9"/>
  <c r="F130" i="9" s="1"/>
  <c r="E130" i="9" s="1"/>
  <c r="D130" i="9" s="1"/>
  <c r="G157" i="9"/>
  <c r="F157" i="9" s="1"/>
  <c r="E157" i="9" s="1"/>
  <c r="D157" i="9" s="1"/>
  <c r="H66" i="9"/>
  <c r="K39" i="9"/>
  <c r="I41" i="9"/>
  <c r="J42" i="9"/>
  <c r="J118" i="9" s="1"/>
  <c r="H44" i="9"/>
  <c r="I45" i="9"/>
  <c r="N46" i="9"/>
  <c r="H113" i="9"/>
  <c r="L39" i="9"/>
  <c r="I40" i="9"/>
  <c r="M40" i="9"/>
  <c r="J41" i="9"/>
  <c r="N41" i="9"/>
  <c r="K42" i="9"/>
  <c r="K118" i="9" s="1"/>
  <c r="H43" i="9"/>
  <c r="L43" i="9"/>
  <c r="I44" i="9"/>
  <c r="M44" i="9"/>
  <c r="J45" i="9"/>
  <c r="N45" i="9"/>
  <c r="K46" i="9"/>
  <c r="H47" i="9"/>
  <c r="L47" i="9"/>
  <c r="L40" i="9"/>
  <c r="K43" i="9"/>
  <c r="J46" i="9"/>
  <c r="M39" i="9"/>
  <c r="N40" i="9"/>
  <c r="H42" i="9"/>
  <c r="H118" i="9" s="1"/>
  <c r="L42" i="9"/>
  <c r="L118" i="9" s="1"/>
  <c r="I43" i="9"/>
  <c r="M43" i="9"/>
  <c r="J44" i="9"/>
  <c r="N44" i="9"/>
  <c r="K45" i="9"/>
  <c r="H46" i="9"/>
  <c r="L46" i="9"/>
  <c r="I47" i="9"/>
  <c r="M47" i="9"/>
  <c r="H40" i="9"/>
  <c r="M41" i="9"/>
  <c r="N42" i="9"/>
  <c r="N118" i="9" s="1"/>
  <c r="L44" i="9"/>
  <c r="M45" i="9"/>
  <c r="K47" i="9"/>
  <c r="I39" i="9"/>
  <c r="J40" i="9"/>
  <c r="K41" i="9"/>
  <c r="J39" i="9"/>
  <c r="N39" i="9"/>
  <c r="K40" i="9"/>
  <c r="L41" i="9"/>
  <c r="I42" i="9"/>
  <c r="I118" i="9" s="1"/>
  <c r="M42" i="9"/>
  <c r="M118" i="9" s="1"/>
  <c r="J43" i="9"/>
  <c r="N43" i="9"/>
  <c r="K44" i="9"/>
  <c r="H45" i="9"/>
  <c r="L45" i="9"/>
  <c r="I46" i="9"/>
  <c r="M46" i="9"/>
  <c r="J47" i="9"/>
  <c r="H230" i="9" l="1"/>
  <c r="H238" i="9"/>
  <c r="J157" i="9"/>
  <c r="F362" i="9"/>
  <c r="K295" i="9"/>
  <c r="K296" i="9" s="1"/>
  <c r="L294" i="9"/>
  <c r="L295" i="9" s="1"/>
  <c r="J329" i="9"/>
  <c r="G86" i="9"/>
  <c r="K277" i="9"/>
  <c r="L277" i="9" s="1"/>
  <c r="L279" i="9" s="1"/>
  <c r="H245" i="9"/>
  <c r="H246" i="9" s="1"/>
  <c r="G256" i="9"/>
  <c r="H114" i="9"/>
  <c r="H115" i="9" s="1"/>
  <c r="H196" i="9"/>
  <c r="H166" i="9" s="1"/>
  <c r="H134" i="9"/>
  <c r="H187" i="9" s="1"/>
  <c r="H117" i="9"/>
  <c r="I113" i="9"/>
  <c r="J268" i="9"/>
  <c r="H197" i="9"/>
  <c r="H121" i="9" s="1"/>
  <c r="F301" i="9" s="1"/>
  <c r="K280" i="9"/>
  <c r="L280" i="9" s="1"/>
  <c r="E192" i="9"/>
  <c r="E162" i="9" s="1"/>
  <c r="E163" i="9" s="1"/>
  <c r="E178" i="9" s="1"/>
  <c r="E179" i="9"/>
  <c r="D133" i="9"/>
  <c r="D136" i="9" s="1"/>
  <c r="D139" i="9" s="1"/>
  <c r="D153" i="9" s="1"/>
  <c r="F192" i="9"/>
  <c r="F162" i="9" s="1"/>
  <c r="F163" i="9" s="1"/>
  <c r="F178" i="9" s="1"/>
  <c r="G192" i="9"/>
  <c r="G162" i="9" s="1"/>
  <c r="G163" i="9" s="1"/>
  <c r="G178" i="9" s="1"/>
  <c r="F149" i="9"/>
  <c r="E150" i="9"/>
  <c r="E151" i="9" s="1"/>
  <c r="G87" i="9" l="1"/>
  <c r="G88" i="9" s="1"/>
  <c r="K157" i="9"/>
  <c r="G362" i="9"/>
  <c r="L329" i="9"/>
  <c r="M295" i="9"/>
  <c r="M329" i="9" s="1"/>
  <c r="L296" i="9"/>
  <c r="K329" i="9"/>
  <c r="H168" i="9"/>
  <c r="F300" i="9"/>
  <c r="F310" i="9" s="1"/>
  <c r="H198" i="9"/>
  <c r="H137" i="9" s="1"/>
  <c r="H254" i="9"/>
  <c r="H207" i="9" s="1"/>
  <c r="H253" i="9"/>
  <c r="H119" i="9"/>
  <c r="E180" i="9"/>
  <c r="E133" i="9" s="1"/>
  <c r="E136" i="9" s="1"/>
  <c r="E139" i="9" s="1"/>
  <c r="E153" i="9" s="1"/>
  <c r="H161" i="9"/>
  <c r="J113" i="9"/>
  <c r="I196" i="9"/>
  <c r="I166" i="9" s="1"/>
  <c r="I114" i="9"/>
  <c r="I117" i="9"/>
  <c r="I134" i="9"/>
  <c r="I187" i="9" s="1"/>
  <c r="H135" i="9"/>
  <c r="H188" i="9" s="1"/>
  <c r="H143" i="9"/>
  <c r="L281" i="9"/>
  <c r="F150" i="9"/>
  <c r="F151" i="9" s="1"/>
  <c r="G149" i="9"/>
  <c r="H206" i="9" l="1"/>
  <c r="E364" i="9"/>
  <c r="L157" i="9"/>
  <c r="H362" i="9"/>
  <c r="I168" i="9"/>
  <c r="G300" i="9"/>
  <c r="G310" i="9" s="1"/>
  <c r="I195" i="9"/>
  <c r="I197" i="9" s="1"/>
  <c r="I121" i="9" s="1"/>
  <c r="G301" i="9" s="1"/>
  <c r="H122" i="9"/>
  <c r="H98" i="9"/>
  <c r="H99" i="9" s="1"/>
  <c r="J134" i="9"/>
  <c r="J187" i="9" s="1"/>
  <c r="J196" i="9"/>
  <c r="J166" i="9" s="1"/>
  <c r="K113" i="9"/>
  <c r="J117" i="9"/>
  <c r="J114" i="9"/>
  <c r="F179" i="9"/>
  <c r="F180" i="9" s="1"/>
  <c r="G179" i="9" s="1"/>
  <c r="G180" i="9" s="1"/>
  <c r="G133" i="9" s="1"/>
  <c r="D268" i="9" s="1"/>
  <c r="D271" i="9" s="1"/>
  <c r="D274" i="9" s="1"/>
  <c r="H189" i="9"/>
  <c r="H190" i="9" s="1"/>
  <c r="H192" i="9" s="1"/>
  <c r="I115" i="9"/>
  <c r="I119" i="9" s="1"/>
  <c r="I143" i="9"/>
  <c r="I135" i="9"/>
  <c r="I188" i="9" s="1"/>
  <c r="G150" i="9"/>
  <c r="G151" i="9" s="1"/>
  <c r="D284" i="9"/>
  <c r="M157" i="9" l="1"/>
  <c r="I362" i="9"/>
  <c r="I206" i="9"/>
  <c r="F364" i="9"/>
  <c r="I198" i="9"/>
  <c r="I137" i="9" s="1"/>
  <c r="I161" i="9"/>
  <c r="J168" i="9"/>
  <c r="H300" i="9"/>
  <c r="H310" i="9" s="1"/>
  <c r="H162" i="9"/>
  <c r="F302" i="9"/>
  <c r="H97" i="9"/>
  <c r="F298" i="9"/>
  <c r="I122" i="9"/>
  <c r="I98" i="9"/>
  <c r="I99" i="9" s="1"/>
  <c r="D74" i="9"/>
  <c r="D79" i="9" s="1"/>
  <c r="K196" i="9"/>
  <c r="K166" i="9" s="1"/>
  <c r="K134" i="9"/>
  <c r="K187" i="9" s="1"/>
  <c r="K114" i="9"/>
  <c r="L113" i="9"/>
  <c r="K117" i="9"/>
  <c r="I189" i="9"/>
  <c r="I190" i="9" s="1"/>
  <c r="I192" i="9" s="1"/>
  <c r="G136" i="9"/>
  <c r="G139" i="9" s="1"/>
  <c r="M75" i="9" s="1"/>
  <c r="J115" i="9"/>
  <c r="J119" i="9" s="1"/>
  <c r="J98" i="9" s="1"/>
  <c r="J99" i="9" s="1"/>
  <c r="J135" i="9"/>
  <c r="J188" i="9" s="1"/>
  <c r="J143" i="9"/>
  <c r="D21" i="9"/>
  <c r="D39" i="9" s="1"/>
  <c r="D40" i="9" s="1"/>
  <c r="D37" i="9" s="1"/>
  <c r="E306" i="9" s="1"/>
  <c r="F133" i="9"/>
  <c r="F136" i="9" s="1"/>
  <c r="F139" i="9" s="1"/>
  <c r="F153" i="9" s="1"/>
  <c r="F284" i="9"/>
  <c r="G284" i="9" s="1"/>
  <c r="D285" i="9"/>
  <c r="D286" i="9" s="1"/>
  <c r="D288" i="9" s="1"/>
  <c r="E74" i="9" l="1"/>
  <c r="F74" i="9" s="1"/>
  <c r="J206" i="9"/>
  <c r="G364" i="9"/>
  <c r="N157" i="9"/>
  <c r="K362" i="9" s="1"/>
  <c r="J362" i="9"/>
  <c r="J195" i="9"/>
  <c r="J197" i="9" s="1"/>
  <c r="J121" i="9" s="1"/>
  <c r="H301" i="9" s="1"/>
  <c r="K168" i="9"/>
  <c r="I300" i="9"/>
  <c r="I310" i="9" s="1"/>
  <c r="F299" i="9"/>
  <c r="F303" i="9" s="1"/>
  <c r="F305" i="9" s="1"/>
  <c r="F306" i="9" s="1"/>
  <c r="I162" i="9"/>
  <c r="G302" i="9"/>
  <c r="I97" i="9"/>
  <c r="G298" i="9"/>
  <c r="C63" i="9"/>
  <c r="C52" i="9" s="1"/>
  <c r="L196" i="9"/>
  <c r="L166" i="9" s="1"/>
  <c r="L134" i="9"/>
  <c r="L187" i="9" s="1"/>
  <c r="M113" i="9"/>
  <c r="L114" i="9"/>
  <c r="L117" i="9"/>
  <c r="K115" i="9"/>
  <c r="K119" i="9" s="1"/>
  <c r="K98" i="9" s="1"/>
  <c r="K99" i="9" s="1"/>
  <c r="K143" i="9"/>
  <c r="K135" i="9"/>
  <c r="K188" i="9" s="1"/>
  <c r="G153" i="9"/>
  <c r="J189" i="9"/>
  <c r="J190" i="9" s="1"/>
  <c r="J192" i="9" s="1"/>
  <c r="D41" i="9"/>
  <c r="D42" i="9" s="1"/>
  <c r="H63" i="9"/>
  <c r="E79" i="9" l="1"/>
  <c r="K206" i="9"/>
  <c r="H364" i="9"/>
  <c r="J198" i="9"/>
  <c r="K195" i="9" s="1"/>
  <c r="J122" i="9"/>
  <c r="H298" i="9" s="1"/>
  <c r="J161" i="9"/>
  <c r="L168" i="9"/>
  <c r="J300" i="9"/>
  <c r="J310" i="9" s="1"/>
  <c r="G299" i="9"/>
  <c r="G303" i="9" s="1"/>
  <c r="G305" i="9" s="1"/>
  <c r="G306" i="9" s="1"/>
  <c r="J162" i="9"/>
  <c r="H302" i="9"/>
  <c r="K189" i="9"/>
  <c r="K190" i="9" s="1"/>
  <c r="K192" i="9" s="1"/>
  <c r="M196" i="9"/>
  <c r="M166" i="9" s="1"/>
  <c r="M134" i="9"/>
  <c r="M187" i="9" s="1"/>
  <c r="N113" i="9"/>
  <c r="M114" i="9"/>
  <c r="M117" i="9"/>
  <c r="L115" i="9"/>
  <c r="L119" i="9" s="1"/>
  <c r="L98" i="9" s="1"/>
  <c r="L99" i="9" s="1"/>
  <c r="L143" i="9"/>
  <c r="L135" i="9"/>
  <c r="L188" i="9" s="1"/>
  <c r="F79" i="9"/>
  <c r="M78" i="9" s="1"/>
  <c r="E268" i="9"/>
  <c r="F268" i="9" s="1"/>
  <c r="M74" i="9"/>
  <c r="M76" i="9" s="1"/>
  <c r="G268" i="9"/>
  <c r="J137" i="9" l="1"/>
  <c r="J97" i="9"/>
  <c r="L206" i="9"/>
  <c r="I364" i="9"/>
  <c r="M168" i="9"/>
  <c r="K300" i="9"/>
  <c r="K310" i="9" s="1"/>
  <c r="K162" i="9"/>
  <c r="I302" i="9"/>
  <c r="H299" i="9"/>
  <c r="H303" i="9" s="1"/>
  <c r="H305" i="9" s="1"/>
  <c r="H306" i="9" s="1"/>
  <c r="L189" i="9"/>
  <c r="L190" i="9" s="1"/>
  <c r="L192" i="9" s="1"/>
  <c r="M135" i="9"/>
  <c r="M188" i="9" s="1"/>
  <c r="M143" i="9"/>
  <c r="N134" i="9"/>
  <c r="N187" i="9" s="1"/>
  <c r="N196" i="9"/>
  <c r="N166" i="9" s="1"/>
  <c r="N114" i="9"/>
  <c r="N117" i="9"/>
  <c r="M115" i="9"/>
  <c r="M119" i="9" s="1"/>
  <c r="M98" i="9" s="1"/>
  <c r="M99" i="9" s="1"/>
  <c r="M79" i="9"/>
  <c r="M80" i="9" s="1"/>
  <c r="G273" i="9" s="1"/>
  <c r="K273" i="9" s="1"/>
  <c r="L273" i="9" s="1"/>
  <c r="H138" i="9" s="1"/>
  <c r="I138" i="9" s="1"/>
  <c r="J138" i="9" s="1"/>
  <c r="K138" i="9" s="1"/>
  <c r="L138" i="9" s="1"/>
  <c r="M138" i="9" s="1"/>
  <c r="N138" i="9" s="1"/>
  <c r="K197" i="9"/>
  <c r="K121" i="9" s="1"/>
  <c r="I301" i="9" s="1"/>
  <c r="M206" i="9" l="1"/>
  <c r="J364" i="9"/>
  <c r="N168" i="9"/>
  <c r="L300" i="9"/>
  <c r="L310" i="9" s="1"/>
  <c r="L162" i="9"/>
  <c r="J302" i="9"/>
  <c r="N135" i="9"/>
  <c r="N188" i="9" s="1"/>
  <c r="N143" i="9"/>
  <c r="N115" i="9"/>
  <c r="N119" i="9" s="1"/>
  <c r="N98" i="9" s="1"/>
  <c r="N99" i="9" s="1"/>
  <c r="M189" i="9"/>
  <c r="M190" i="9" s="1"/>
  <c r="M192" i="9" s="1"/>
  <c r="K198" i="9"/>
  <c r="K161" i="9"/>
  <c r="K122" i="9"/>
  <c r="N206" i="9" l="1"/>
  <c r="K364" i="9"/>
  <c r="M162" i="9"/>
  <c r="K302" i="9"/>
  <c r="K97" i="9"/>
  <c r="I298" i="9"/>
  <c r="N189" i="9"/>
  <c r="N190" i="9" s="1"/>
  <c r="N192" i="9" s="1"/>
  <c r="K137" i="9"/>
  <c r="L195" i="9"/>
  <c r="I299" i="9" l="1"/>
  <c r="I303" i="9" s="1"/>
  <c r="I305" i="9" s="1"/>
  <c r="I306" i="9" s="1"/>
  <c r="N162" i="9"/>
  <c r="L302" i="9"/>
  <c r="L197" i="9"/>
  <c r="L121" i="9" s="1"/>
  <c r="J301" i="9" s="1"/>
  <c r="L198" i="9" l="1"/>
  <c r="L137" i="9" s="1"/>
  <c r="L122" i="9"/>
  <c r="L161" i="9"/>
  <c r="M195" i="9" l="1"/>
  <c r="M197" i="9" s="1"/>
  <c r="M121" i="9" s="1"/>
  <c r="K301" i="9" s="1"/>
  <c r="L97" i="9"/>
  <c r="J298" i="9"/>
  <c r="J299" i="9" l="1"/>
  <c r="J303" i="9" s="1"/>
  <c r="J305" i="9" s="1"/>
  <c r="J306" i="9" s="1"/>
  <c r="M198" i="9"/>
  <c r="N195" i="9" s="1"/>
  <c r="M122" i="9"/>
  <c r="M161" i="9"/>
  <c r="M97" i="9" l="1"/>
  <c r="K298" i="9"/>
  <c r="M137" i="9"/>
  <c r="N197" i="9"/>
  <c r="N121" i="9" s="1"/>
  <c r="L301" i="9" s="1"/>
  <c r="K299" i="9" l="1"/>
  <c r="K303" i="9" s="1"/>
  <c r="K305" i="9" s="1"/>
  <c r="K306" i="9" s="1"/>
  <c r="N122" i="9"/>
  <c r="N161" i="9"/>
  <c r="N198" i="9"/>
  <c r="N137" i="9" s="1"/>
  <c r="N97" i="9" l="1"/>
  <c r="L298" i="9"/>
  <c r="C12" i="7"/>
  <c r="C15" i="7"/>
  <c r="C319" i="9" l="1"/>
  <c r="C321" i="9" s="1"/>
  <c r="M305" i="9" s="1"/>
  <c r="M306" i="9" s="1"/>
  <c r="L299" i="9"/>
  <c r="L303" i="9" s="1"/>
  <c r="L305" i="9" s="1"/>
  <c r="L306" i="9" s="1"/>
  <c r="L320" i="9" l="1"/>
  <c r="G320" i="9" s="1"/>
  <c r="H320" i="9" s="1"/>
  <c r="J2" i="9"/>
  <c r="M2" i="9"/>
  <c r="D30" i="9"/>
  <c r="D31" i="9"/>
  <c r="D33" i="9"/>
  <c r="D34" i="9"/>
  <c r="D52" i="9"/>
  <c r="D53" i="9"/>
  <c r="D54" i="9"/>
  <c r="D55" i="9"/>
  <c r="D56" i="9"/>
  <c r="C57" i="9"/>
  <c r="D57" i="9"/>
  <c r="C58" i="9"/>
  <c r="D58" i="9"/>
  <c r="H67" i="9"/>
  <c r="C68" i="9"/>
  <c r="C69" i="9"/>
  <c r="H69" i="9"/>
  <c r="H86" i="9"/>
  <c r="I86" i="9"/>
  <c r="J86" i="9"/>
  <c r="K86" i="9"/>
  <c r="L86" i="9"/>
  <c r="M86" i="9"/>
  <c r="N86" i="9"/>
  <c r="H87" i="9"/>
  <c r="I87" i="9"/>
  <c r="J87" i="9"/>
  <c r="K87" i="9"/>
  <c r="L87" i="9"/>
  <c r="M87" i="9"/>
  <c r="N87" i="9"/>
  <c r="H88" i="9"/>
  <c r="I88" i="9"/>
  <c r="J88" i="9"/>
  <c r="K88" i="9"/>
  <c r="L88" i="9"/>
  <c r="M88" i="9"/>
  <c r="N88" i="9"/>
  <c r="G90" i="9"/>
  <c r="H90" i="9"/>
  <c r="I90" i="9"/>
  <c r="J90" i="9"/>
  <c r="K90" i="9"/>
  <c r="L90" i="9"/>
  <c r="M90" i="9"/>
  <c r="N90" i="9"/>
  <c r="G91" i="9"/>
  <c r="H91" i="9"/>
  <c r="I91" i="9"/>
  <c r="J91" i="9"/>
  <c r="K91" i="9"/>
  <c r="L91" i="9"/>
  <c r="M91" i="9"/>
  <c r="N91" i="9"/>
  <c r="H93" i="9"/>
  <c r="I93" i="9"/>
  <c r="J93" i="9"/>
  <c r="K93" i="9"/>
  <c r="L93" i="9"/>
  <c r="M93" i="9"/>
  <c r="N93" i="9"/>
  <c r="H94" i="9"/>
  <c r="I94" i="9"/>
  <c r="J94" i="9"/>
  <c r="K94" i="9"/>
  <c r="L94" i="9"/>
  <c r="M94" i="9"/>
  <c r="N94" i="9"/>
  <c r="H95" i="9"/>
  <c r="I95" i="9"/>
  <c r="J95" i="9"/>
  <c r="K95" i="9"/>
  <c r="L95" i="9"/>
  <c r="M95" i="9"/>
  <c r="N95" i="9"/>
  <c r="H100" i="9"/>
  <c r="I100" i="9"/>
  <c r="J100" i="9"/>
  <c r="K100" i="9"/>
  <c r="L100" i="9"/>
  <c r="M100" i="9"/>
  <c r="N100" i="9"/>
  <c r="H102" i="9"/>
  <c r="I102" i="9"/>
  <c r="J102" i="9"/>
  <c r="K102" i="9"/>
  <c r="L102" i="9"/>
  <c r="M102" i="9"/>
  <c r="N102" i="9"/>
  <c r="H103" i="9"/>
  <c r="I103" i="9"/>
  <c r="J103" i="9"/>
  <c r="K103" i="9"/>
  <c r="L103" i="9"/>
  <c r="M103" i="9"/>
  <c r="N103" i="9"/>
  <c r="H104" i="9"/>
  <c r="I104" i="9"/>
  <c r="J104" i="9"/>
  <c r="K104" i="9"/>
  <c r="L104" i="9"/>
  <c r="M104" i="9"/>
  <c r="N104" i="9"/>
  <c r="H105" i="9"/>
  <c r="I105" i="9"/>
  <c r="J105" i="9"/>
  <c r="K105" i="9"/>
  <c r="L105" i="9"/>
  <c r="M105" i="9"/>
  <c r="N105" i="9"/>
  <c r="H106" i="9"/>
  <c r="I106" i="9"/>
  <c r="J106" i="9"/>
  <c r="K106" i="9"/>
  <c r="L106" i="9"/>
  <c r="M106" i="9"/>
  <c r="N106" i="9"/>
  <c r="H107" i="9"/>
  <c r="I107" i="9"/>
  <c r="J107" i="9"/>
  <c r="K107" i="9"/>
  <c r="L107" i="9"/>
  <c r="M107" i="9"/>
  <c r="N107" i="9"/>
  <c r="H124" i="9"/>
  <c r="I124" i="9"/>
  <c r="J124" i="9"/>
  <c r="K124" i="9"/>
  <c r="L124" i="9"/>
  <c r="M124" i="9"/>
  <c r="N124" i="9"/>
  <c r="H125" i="9"/>
  <c r="I125" i="9"/>
  <c r="J125" i="9"/>
  <c r="K125" i="9"/>
  <c r="L125" i="9"/>
  <c r="M125" i="9"/>
  <c r="N125" i="9"/>
  <c r="H126" i="9"/>
  <c r="I126" i="9"/>
  <c r="J126" i="9"/>
  <c r="K126" i="9"/>
  <c r="L126" i="9"/>
  <c r="M126" i="9"/>
  <c r="N126" i="9"/>
  <c r="H133" i="9"/>
  <c r="I133" i="9"/>
  <c r="J133" i="9"/>
  <c r="K133" i="9"/>
  <c r="L133" i="9"/>
  <c r="M133" i="9"/>
  <c r="N133" i="9"/>
  <c r="H136" i="9"/>
  <c r="I136" i="9"/>
  <c r="J136" i="9"/>
  <c r="K136" i="9"/>
  <c r="L136" i="9"/>
  <c r="M136" i="9"/>
  <c r="N136" i="9"/>
  <c r="H139" i="9"/>
  <c r="I139" i="9"/>
  <c r="J139" i="9"/>
  <c r="K139" i="9"/>
  <c r="L139" i="9"/>
  <c r="M139" i="9"/>
  <c r="N139" i="9"/>
  <c r="H142" i="9"/>
  <c r="I142" i="9"/>
  <c r="J142" i="9"/>
  <c r="K142" i="9"/>
  <c r="L142" i="9"/>
  <c r="M142" i="9"/>
  <c r="N142" i="9"/>
  <c r="H144" i="9"/>
  <c r="I144" i="9"/>
  <c r="J144" i="9"/>
  <c r="K144" i="9"/>
  <c r="L144" i="9"/>
  <c r="M144" i="9"/>
  <c r="N144" i="9"/>
  <c r="H145" i="9"/>
  <c r="I145" i="9"/>
  <c r="J145" i="9"/>
  <c r="K145" i="9"/>
  <c r="L145" i="9"/>
  <c r="M145" i="9"/>
  <c r="N145" i="9"/>
  <c r="H146" i="9"/>
  <c r="I146" i="9"/>
  <c r="J146" i="9"/>
  <c r="K146" i="9"/>
  <c r="L146" i="9"/>
  <c r="M146" i="9"/>
  <c r="N146" i="9"/>
  <c r="H148" i="9"/>
  <c r="I148" i="9"/>
  <c r="J148" i="9"/>
  <c r="K148" i="9"/>
  <c r="L148" i="9"/>
  <c r="M148" i="9"/>
  <c r="N148" i="9"/>
  <c r="H149" i="9"/>
  <c r="I149" i="9"/>
  <c r="J149" i="9"/>
  <c r="K149" i="9"/>
  <c r="L149" i="9"/>
  <c r="M149" i="9"/>
  <c r="N149" i="9"/>
  <c r="H150" i="9"/>
  <c r="I150" i="9"/>
  <c r="J150" i="9"/>
  <c r="K150" i="9"/>
  <c r="L150" i="9"/>
  <c r="M150" i="9"/>
  <c r="N150" i="9"/>
  <c r="H151" i="9"/>
  <c r="I151" i="9"/>
  <c r="J151" i="9"/>
  <c r="K151" i="9"/>
  <c r="L151" i="9"/>
  <c r="M151" i="9"/>
  <c r="N151" i="9"/>
  <c r="H153" i="9"/>
  <c r="I153" i="9"/>
  <c r="J153" i="9"/>
  <c r="K153" i="9"/>
  <c r="L153" i="9"/>
  <c r="M153" i="9"/>
  <c r="N153" i="9"/>
  <c r="H160" i="9"/>
  <c r="I160" i="9"/>
  <c r="J160" i="9"/>
  <c r="K160" i="9"/>
  <c r="L160" i="9"/>
  <c r="M160" i="9"/>
  <c r="N160" i="9"/>
  <c r="H163" i="9"/>
  <c r="I163" i="9"/>
  <c r="J163" i="9"/>
  <c r="K163" i="9"/>
  <c r="L163" i="9"/>
  <c r="M163" i="9"/>
  <c r="N163" i="9"/>
  <c r="H171" i="9"/>
  <c r="I171" i="9"/>
  <c r="J171" i="9"/>
  <c r="K171" i="9"/>
  <c r="L171" i="9"/>
  <c r="M171" i="9"/>
  <c r="N171" i="9"/>
  <c r="H172" i="9"/>
  <c r="I172" i="9"/>
  <c r="J172" i="9"/>
  <c r="K172" i="9"/>
  <c r="L172" i="9"/>
  <c r="M172" i="9"/>
  <c r="N172" i="9"/>
  <c r="H176" i="9"/>
  <c r="I176" i="9"/>
  <c r="J176" i="9"/>
  <c r="K176" i="9"/>
  <c r="L176" i="9"/>
  <c r="M176" i="9"/>
  <c r="N176" i="9"/>
  <c r="H178" i="9"/>
  <c r="I178" i="9"/>
  <c r="J178" i="9"/>
  <c r="K178" i="9"/>
  <c r="L178" i="9"/>
  <c r="M178" i="9"/>
  <c r="N178" i="9"/>
  <c r="H179" i="9"/>
  <c r="I179" i="9"/>
  <c r="J179" i="9"/>
  <c r="K179" i="9"/>
  <c r="L179" i="9"/>
  <c r="M179" i="9"/>
  <c r="N179" i="9"/>
  <c r="H180" i="9"/>
  <c r="I180" i="9"/>
  <c r="J180" i="9"/>
  <c r="K180" i="9"/>
  <c r="L180" i="9"/>
  <c r="M180" i="9"/>
  <c r="N180" i="9"/>
  <c r="H205" i="9"/>
  <c r="I205" i="9"/>
  <c r="J205" i="9"/>
  <c r="K205" i="9"/>
  <c r="L205" i="9"/>
  <c r="M205" i="9"/>
  <c r="N205" i="9"/>
  <c r="I207" i="9"/>
  <c r="J207" i="9"/>
  <c r="K207" i="9"/>
  <c r="L207" i="9"/>
  <c r="M207" i="9"/>
  <c r="N207" i="9"/>
  <c r="H209" i="9"/>
  <c r="I209" i="9"/>
  <c r="J209" i="9"/>
  <c r="K209" i="9"/>
  <c r="L209" i="9"/>
  <c r="M209" i="9"/>
  <c r="N209" i="9"/>
  <c r="H211" i="9"/>
  <c r="I211" i="9"/>
  <c r="J211" i="9"/>
  <c r="K211" i="9"/>
  <c r="L211" i="9"/>
  <c r="M211" i="9"/>
  <c r="N211" i="9"/>
  <c r="H212" i="9"/>
  <c r="I212" i="9"/>
  <c r="J212" i="9"/>
  <c r="K212" i="9"/>
  <c r="L212" i="9"/>
  <c r="M212" i="9"/>
  <c r="N212" i="9"/>
  <c r="H214" i="9"/>
  <c r="I214" i="9"/>
  <c r="J214" i="9"/>
  <c r="K214" i="9"/>
  <c r="L214" i="9"/>
  <c r="M214" i="9"/>
  <c r="N214" i="9"/>
  <c r="H215" i="9"/>
  <c r="I215" i="9"/>
  <c r="J215" i="9"/>
  <c r="K215" i="9"/>
  <c r="L215" i="9"/>
  <c r="M215" i="9"/>
  <c r="N215" i="9"/>
  <c r="H216" i="9"/>
  <c r="I216" i="9"/>
  <c r="J216" i="9"/>
  <c r="K216" i="9"/>
  <c r="L216" i="9"/>
  <c r="M216" i="9"/>
  <c r="N216" i="9"/>
  <c r="H218" i="9"/>
  <c r="I218" i="9"/>
  <c r="J218" i="9"/>
  <c r="K218" i="9"/>
  <c r="L218" i="9"/>
  <c r="M218" i="9"/>
  <c r="N218" i="9"/>
  <c r="I221" i="9"/>
  <c r="J221" i="9"/>
  <c r="K221" i="9"/>
  <c r="L221" i="9"/>
  <c r="M221" i="9"/>
  <c r="N221" i="9"/>
  <c r="H222" i="9"/>
  <c r="I222" i="9"/>
  <c r="J222" i="9"/>
  <c r="K222" i="9"/>
  <c r="L222" i="9"/>
  <c r="M222" i="9"/>
  <c r="N222" i="9"/>
  <c r="H223" i="9"/>
  <c r="I223" i="9"/>
  <c r="J223" i="9"/>
  <c r="K223" i="9"/>
  <c r="L223" i="9"/>
  <c r="M223" i="9"/>
  <c r="N223" i="9"/>
  <c r="H224" i="9"/>
  <c r="I224" i="9"/>
  <c r="J224" i="9"/>
  <c r="K224" i="9"/>
  <c r="L224" i="9"/>
  <c r="M224" i="9"/>
  <c r="N224" i="9"/>
  <c r="H226" i="9"/>
  <c r="I226" i="9"/>
  <c r="J226" i="9"/>
  <c r="K226" i="9"/>
  <c r="L226" i="9"/>
  <c r="M226" i="9"/>
  <c r="N226" i="9"/>
  <c r="C228" i="9"/>
  <c r="I229" i="9"/>
  <c r="J229" i="9"/>
  <c r="K229" i="9"/>
  <c r="L229" i="9"/>
  <c r="M229" i="9"/>
  <c r="N229" i="9"/>
  <c r="I230" i="9"/>
  <c r="J230" i="9"/>
  <c r="K230" i="9"/>
  <c r="L230" i="9"/>
  <c r="M230" i="9"/>
  <c r="N230" i="9"/>
  <c r="H231" i="9"/>
  <c r="I231" i="9"/>
  <c r="J231" i="9"/>
  <c r="K231" i="9"/>
  <c r="L231" i="9"/>
  <c r="M231" i="9"/>
  <c r="N231" i="9"/>
  <c r="H232" i="9"/>
  <c r="I232" i="9"/>
  <c r="J232" i="9"/>
  <c r="K232" i="9"/>
  <c r="L232" i="9"/>
  <c r="M232" i="9"/>
  <c r="N232" i="9"/>
  <c r="H234" i="9"/>
  <c r="I234" i="9"/>
  <c r="J234" i="9"/>
  <c r="K234" i="9"/>
  <c r="L234" i="9"/>
  <c r="M234" i="9"/>
  <c r="N234" i="9"/>
  <c r="C236" i="9"/>
  <c r="I237" i="9"/>
  <c r="J237" i="9"/>
  <c r="K237" i="9"/>
  <c r="L237" i="9"/>
  <c r="M237" i="9"/>
  <c r="N237" i="9"/>
  <c r="I238" i="9"/>
  <c r="J238" i="9"/>
  <c r="K238" i="9"/>
  <c r="L238" i="9"/>
  <c r="M238" i="9"/>
  <c r="N238" i="9"/>
  <c r="H239" i="9"/>
  <c r="I239" i="9"/>
  <c r="J239" i="9"/>
  <c r="K239" i="9"/>
  <c r="L239" i="9"/>
  <c r="M239" i="9"/>
  <c r="N239" i="9"/>
  <c r="H240" i="9"/>
  <c r="I240" i="9"/>
  <c r="J240" i="9"/>
  <c r="K240" i="9"/>
  <c r="L240" i="9"/>
  <c r="M240" i="9"/>
  <c r="N240" i="9"/>
  <c r="H242" i="9"/>
  <c r="I242" i="9"/>
  <c r="J242" i="9"/>
  <c r="K242" i="9"/>
  <c r="L242" i="9"/>
  <c r="M242" i="9"/>
  <c r="N242" i="9"/>
  <c r="C244" i="9"/>
  <c r="I245" i="9"/>
  <c r="J245" i="9"/>
  <c r="K245" i="9"/>
  <c r="L245" i="9"/>
  <c r="M245" i="9"/>
  <c r="N245" i="9"/>
  <c r="I246" i="9"/>
  <c r="J246" i="9"/>
  <c r="K246" i="9"/>
  <c r="L246" i="9"/>
  <c r="M246" i="9"/>
  <c r="N246" i="9"/>
  <c r="H247" i="9"/>
  <c r="I247" i="9"/>
  <c r="J247" i="9"/>
  <c r="K247" i="9"/>
  <c r="L247" i="9"/>
  <c r="M247" i="9"/>
  <c r="N247" i="9"/>
  <c r="H248" i="9"/>
  <c r="I248" i="9"/>
  <c r="J248" i="9"/>
  <c r="K248" i="9"/>
  <c r="L248" i="9"/>
  <c r="M248" i="9"/>
  <c r="N248" i="9"/>
  <c r="H250" i="9"/>
  <c r="I250" i="9"/>
  <c r="J250" i="9"/>
  <c r="K250" i="9"/>
  <c r="L250" i="9"/>
  <c r="M250" i="9"/>
  <c r="N250" i="9"/>
  <c r="C252" i="9"/>
  <c r="I253" i="9"/>
  <c r="J253" i="9"/>
  <c r="K253" i="9"/>
  <c r="L253" i="9"/>
  <c r="M253" i="9"/>
  <c r="N253" i="9"/>
  <c r="I254" i="9"/>
  <c r="J254" i="9"/>
  <c r="K254" i="9"/>
  <c r="L254" i="9"/>
  <c r="M254" i="9"/>
  <c r="N254" i="9"/>
  <c r="H255" i="9"/>
  <c r="I255" i="9"/>
  <c r="J255" i="9"/>
  <c r="K255" i="9"/>
  <c r="L255" i="9"/>
  <c r="M255" i="9"/>
  <c r="N255" i="9"/>
  <c r="H256" i="9"/>
  <c r="I256" i="9"/>
  <c r="J256" i="9"/>
  <c r="K256" i="9"/>
  <c r="L256" i="9"/>
  <c r="M256" i="9"/>
  <c r="N256" i="9"/>
  <c r="H258" i="9"/>
  <c r="I258" i="9"/>
  <c r="J258" i="9"/>
  <c r="K258" i="9"/>
  <c r="L258" i="9"/>
  <c r="M258" i="9"/>
  <c r="N258" i="9"/>
  <c r="H268" i="9"/>
  <c r="I268" i="9"/>
  <c r="K268" i="9"/>
  <c r="L268" i="9"/>
  <c r="L271" i="9"/>
  <c r="L274" i="9"/>
  <c r="H283" i="9"/>
  <c r="K283" i="9"/>
  <c r="L283" i="9"/>
  <c r="I284" i="9"/>
  <c r="K284" i="9"/>
  <c r="L284" i="9"/>
  <c r="L285" i="9"/>
  <c r="L286" i="9"/>
  <c r="L288" i="9"/>
  <c r="F309" i="9"/>
  <c r="G309" i="9"/>
  <c r="H309" i="9"/>
  <c r="I309" i="9"/>
  <c r="J309" i="9"/>
  <c r="K309" i="9"/>
  <c r="L309" i="9"/>
  <c r="F311" i="9"/>
  <c r="G311" i="9"/>
  <c r="H311" i="9"/>
  <c r="I311" i="9"/>
  <c r="J311" i="9"/>
  <c r="K311" i="9"/>
  <c r="L311" i="9"/>
  <c r="F312" i="9"/>
  <c r="G312" i="9"/>
  <c r="H312" i="9"/>
  <c r="I312" i="9"/>
  <c r="J312" i="9"/>
  <c r="K312" i="9"/>
  <c r="L312" i="9"/>
  <c r="F314" i="9"/>
  <c r="G314" i="9"/>
  <c r="H314" i="9"/>
  <c r="I314" i="9"/>
  <c r="J314" i="9"/>
  <c r="K314" i="9"/>
  <c r="L314" i="9"/>
  <c r="M314" i="9"/>
  <c r="E315" i="9"/>
  <c r="F315" i="9"/>
  <c r="G315" i="9"/>
  <c r="H315" i="9"/>
  <c r="I315" i="9"/>
  <c r="J315" i="9"/>
  <c r="K315" i="9"/>
  <c r="L315" i="9"/>
  <c r="M315" i="9"/>
  <c r="G321" i="9"/>
  <c r="H321" i="9"/>
  <c r="L321" i="9"/>
  <c r="C323" i="9"/>
  <c r="C324" i="9"/>
  <c r="C325" i="9"/>
  <c r="C331" i="9"/>
  <c r="F331" i="9"/>
  <c r="G331" i="9"/>
  <c r="H331" i="9"/>
  <c r="I331" i="9"/>
  <c r="J331" i="9"/>
  <c r="K331" i="9"/>
  <c r="L331" i="9"/>
  <c r="C332" i="9"/>
  <c r="F332" i="9"/>
  <c r="G332" i="9"/>
  <c r="H332" i="9"/>
  <c r="I332" i="9"/>
  <c r="J332" i="9"/>
  <c r="K332" i="9"/>
  <c r="L332" i="9"/>
  <c r="C333" i="9"/>
  <c r="F333" i="9"/>
  <c r="G333" i="9"/>
  <c r="H333" i="9"/>
  <c r="I333" i="9"/>
  <c r="J333" i="9"/>
  <c r="K333" i="9"/>
  <c r="L333" i="9"/>
  <c r="C334" i="9"/>
  <c r="E334" i="9"/>
  <c r="F334" i="9"/>
  <c r="G334" i="9"/>
  <c r="H334" i="9"/>
  <c r="I334" i="9"/>
  <c r="J334" i="9"/>
  <c r="K334" i="9"/>
  <c r="L334" i="9"/>
  <c r="M334" i="9"/>
  <c r="C336" i="9"/>
  <c r="B341" i="9"/>
  <c r="I341" i="9"/>
  <c r="B351" i="9"/>
  <c r="I351" i="9"/>
  <c r="E363" i="9"/>
  <c r="F363" i="9"/>
  <c r="G363" i="9"/>
  <c r="H363" i="9"/>
  <c r="I363" i="9"/>
  <c r="J363" i="9"/>
  <c r="K363" i="9"/>
  <c r="E365" i="9"/>
  <c r="F365" i="9"/>
  <c r="G365" i="9"/>
  <c r="H365" i="9"/>
  <c r="I365" i="9"/>
  <c r="J365" i="9"/>
  <c r="K365" i="9"/>
  <c r="E366" i="9"/>
  <c r="F366" i="9"/>
  <c r="G366" i="9"/>
  <c r="H366" i="9"/>
  <c r="I366" i="9"/>
  <c r="J366" i="9"/>
  <c r="K366" i="9"/>
  <c r="E368" i="9"/>
  <c r="F368" i="9"/>
  <c r="G368" i="9"/>
  <c r="H368" i="9"/>
  <c r="I368" i="9"/>
  <c r="J368" i="9"/>
  <c r="K368" i="9"/>
  <c r="E369" i="9"/>
  <c r="F369" i="9"/>
  <c r="G369" i="9"/>
  <c r="H369" i="9"/>
  <c r="I369" i="9"/>
  <c r="J369" i="9"/>
  <c r="K369" i="9"/>
  <c r="E370" i="9"/>
  <c r="F370" i="9"/>
  <c r="G370" i="9"/>
  <c r="H370" i="9"/>
  <c r="I370" i="9"/>
  <c r="J370" i="9"/>
  <c r="K37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Case</t>
        </r>
      </text>
    </comment>
    <comment ref="D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available if target is a public company</t>
        </r>
      </text>
    </comment>
    <comment ref="G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Year over year growth rate</t>
        </r>
      </text>
    </comment>
    <comment ref="D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All IRR and NPV anlaysis will be calculated to this date</t>
        </r>
      </text>
    </comment>
    <comment ref="G10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revenue</t>
        </r>
      </text>
    </comment>
    <comment ref="D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drives the headings on financial statements below</t>
        </r>
      </text>
    </comment>
    <comment ref="G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revenue
</t>
        </r>
      </text>
    </comment>
    <comment ref="D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the month of the year end. i.e. Jan=1, Dec=12.</t>
        </r>
      </text>
    </comment>
    <comment ref="G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Fixed cost</t>
        </r>
      </text>
    </comment>
    <comment ref="D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the day of the month. i.e. 30 or 31</t>
        </r>
      </text>
    </comment>
    <comment ref="G1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revenue</t>
        </r>
      </text>
    </comment>
    <comment ref="G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only on COGS</t>
        </r>
      </text>
    </comment>
    <comment ref="G15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Function of COGS</t>
        </r>
      </text>
    </comment>
    <comment ref="G1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revenue
</t>
        </r>
      </text>
    </comment>
    <comment ref="G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PPE opening balance</t>
        </r>
      </text>
    </comment>
    <comment ref="D1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Normalized and adjusted for valuation purposes</t>
        </r>
      </text>
    </comment>
    <comment ref="D2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Fees associated with early repayment of target's debt</t>
        </r>
      </text>
    </comment>
    <comment ref="D23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Minimum on balance sheet (and short fall funded with line of credit)</t>
        </r>
      </text>
    </comment>
    <comment ref="C47" authorId="0" shapeId="0" xr:uid="{00000000-0006-0000-0100-00001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to override purchase price to be a per share value instead of EBITDA multiple</t>
        </r>
      </text>
    </comment>
    <comment ref="G5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available cash flow allocated to each piece of debt</t>
        </r>
      </text>
    </comment>
    <comment ref="B34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Linked cell for sensitivity analysis
</t>
        </r>
      </text>
    </comment>
    <comment ref="I341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Linked cell for sensitivity analysis</t>
        </r>
      </text>
    </comment>
    <comment ref="B35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Linked cell for sensitivity analysis
</t>
        </r>
      </text>
    </comment>
    <comment ref="I35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Linked cell for sensitivity analysis</t>
        </r>
      </text>
    </comment>
  </commentList>
</comments>
</file>

<file path=xl/sharedStrings.xml><?xml version="1.0" encoding="utf-8"?>
<sst xmlns="http://schemas.openxmlformats.org/spreadsheetml/2006/main" count="359" uniqueCount="258">
  <si>
    <t>Target</t>
  </si>
  <si>
    <t>EBITDA</t>
  </si>
  <si>
    <t>EBIT</t>
  </si>
  <si>
    <t>Transaction</t>
  </si>
  <si>
    <t>Revenue</t>
  </si>
  <si>
    <t>© Corporate Finance Institute. All rights reserved.</t>
  </si>
  <si>
    <t>Assumptions</t>
  </si>
  <si>
    <t>Income Statement</t>
  </si>
  <si>
    <t>Cost of Goods Sold (COGS)</t>
  </si>
  <si>
    <t>Gross Profit</t>
  </si>
  <si>
    <t>Depreciation &amp; Amortization</t>
  </si>
  <si>
    <t>Interest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</si>
  <si>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</si>
  <si>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</si>
  <si>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</si>
  <si>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</si>
  <si>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</si>
  <si>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</si>
  <si>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</si>
  <si>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</si>
  <si>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</si>
  <si>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</si>
  <si>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</si>
  <si>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</si>
  <si>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</si>
  <si>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</si>
  <si>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</si>
  <si>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</si>
  <si>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</si>
  <si>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</si>
  <si>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</si>
  <si>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Cash from Operations</t>
  </si>
  <si>
    <t>Investing Cash Flow</t>
  </si>
  <si>
    <t>Investments in Property &amp; Equipment</t>
  </si>
  <si>
    <t>Cash from Investing</t>
  </si>
  <si>
    <t>Financing Cash Flow</t>
  </si>
  <si>
    <t>Cash from Financing</t>
  </si>
  <si>
    <t>Net Increase (decrease) in Cash</t>
  </si>
  <si>
    <t>Opening Cash Balance</t>
  </si>
  <si>
    <t>Closing Cash Balance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</si>
  <si>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</si>
  <si>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</si>
  <si>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</si>
  <si>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</si>
  <si>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</si>
  <si>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</si>
  <si>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</si>
  <si>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</si>
  <si>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Interest Expense</t>
  </si>
  <si>
    <t>Tax Rate</t>
  </si>
  <si>
    <t>Enterprise Value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</si>
  <si>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</si>
  <si>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</si>
  <si>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</si>
  <si>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Notes</t>
  </si>
  <si>
    <t>Financing</t>
  </si>
  <si>
    <t>Cash Consideration</t>
  </si>
  <si>
    <t>Financial Reporting Units</t>
  </si>
  <si>
    <t>Currency</t>
  </si>
  <si>
    <t>Purchase Price</t>
  </si>
  <si>
    <t>Sources &amp; Uses of Cash</t>
  </si>
  <si>
    <t>Sources of Cash</t>
  </si>
  <si>
    <t>Other Closing Costs</t>
  </si>
  <si>
    <t>Total Sources</t>
  </si>
  <si>
    <t>Goodwill and Purchase Price Allocation</t>
  </si>
  <si>
    <t>Fair Market Value</t>
  </si>
  <si>
    <t>Identifiable Intangibles</t>
  </si>
  <si>
    <t>Book Value</t>
  </si>
  <si>
    <t>Fair Value</t>
  </si>
  <si>
    <t>Current Assets</t>
  </si>
  <si>
    <t>Short Term Debt</t>
  </si>
  <si>
    <t>Long Term Debt</t>
  </si>
  <si>
    <t>Current Liabilities</t>
  </si>
  <si>
    <t>Adjustment</t>
  </si>
  <si>
    <t>Purchase Price Allocation</t>
  </si>
  <si>
    <t>Net Book Value of Assets</t>
  </si>
  <si>
    <t>Excess Purchase Price</t>
  </si>
  <si>
    <t>Fair Value Adjustments</t>
  </si>
  <si>
    <t>Excess Purchase Price After Adjustments</t>
  </si>
  <si>
    <t xml:space="preserve">Goodwill </t>
  </si>
  <si>
    <t>Restructuring Charges</t>
  </si>
  <si>
    <t>Total Purchase Price</t>
  </si>
  <si>
    <t>Write-off Existing Goodwill</t>
  </si>
  <si>
    <t>Transaction Close Date</t>
  </si>
  <si>
    <t>Purchase</t>
  </si>
  <si>
    <t>Goodwill</t>
  </si>
  <si>
    <t>Total Adj.</t>
  </si>
  <si>
    <t>Cost of Goods Sold</t>
  </si>
  <si>
    <t>General &amp; Administrative</t>
  </si>
  <si>
    <t>Marketing, Advertising &amp; Promotion</t>
  </si>
  <si>
    <t>Investments in Businesses</t>
  </si>
  <si>
    <t>Opening Balance</t>
  </si>
  <si>
    <t>Closing Balance</t>
  </si>
  <si>
    <t>Closing Balance Sheet</t>
  </si>
  <si>
    <t>Table of Contents</t>
  </si>
  <si>
    <t>Strictly Confidential</t>
  </si>
  <si>
    <t>Total Debt</t>
  </si>
  <si>
    <t xml:space="preserve">Total </t>
  </si>
  <si>
    <t>Payment of Dividends</t>
  </si>
  <si>
    <t>Uses of Cash</t>
  </si>
  <si>
    <t>Stock Consideration</t>
  </si>
  <si>
    <t>Target Debt - Replace</t>
  </si>
  <si>
    <t>Debt Financing Fees</t>
  </si>
  <si>
    <t>Equity Financing Fees</t>
  </si>
  <si>
    <t>Total Uses</t>
  </si>
  <si>
    <t>Debt + Equity</t>
  </si>
  <si>
    <t>Fees</t>
  </si>
  <si>
    <t>Re-fi Debt</t>
  </si>
  <si>
    <t>Pro Forma Consolidated Balance Sheet</t>
  </si>
  <si>
    <t>LBO Target Name</t>
  </si>
  <si>
    <t>Revenue Growth Rate</t>
  </si>
  <si>
    <t>Marketing &amp; Advertising</t>
  </si>
  <si>
    <t>General &amp; Admin (fixed costs)</t>
  </si>
  <si>
    <t>Inventory Days</t>
  </si>
  <si>
    <t>Accounts Payable Days</t>
  </si>
  <si>
    <t>Accounts Receivable Days</t>
  </si>
  <si>
    <t>Property, Plant &amp; Equipment</t>
  </si>
  <si>
    <t>Exit EV/EBITDA</t>
  </si>
  <si>
    <t>Less: Total Debt</t>
  </si>
  <si>
    <t>Plus: Cash Balance</t>
  </si>
  <si>
    <t>Equity Offer Value</t>
  </si>
  <si>
    <t>$/Share</t>
  </si>
  <si>
    <t>Premium (Discount)</t>
  </si>
  <si>
    <t>Term Loan 1</t>
  </si>
  <si>
    <t>Term Loan 2</t>
  </si>
  <si>
    <t>Line of Credit</t>
  </si>
  <si>
    <t>Type</t>
  </si>
  <si>
    <t>% of Total</t>
  </si>
  <si>
    <t>$ Value</t>
  </si>
  <si>
    <t>x EBITDA</t>
  </si>
  <si>
    <t>Credit Metrics</t>
  </si>
  <si>
    <t>Coupon</t>
  </si>
  <si>
    <t>Financing Fee</t>
  </si>
  <si>
    <t>Sponsor Equity</t>
  </si>
  <si>
    <t>General Inputs</t>
  </si>
  <si>
    <t>Normalized EBITDA for valuation</t>
  </si>
  <si>
    <t>Cash (target)</t>
  </si>
  <si>
    <t>Debt &amp; Interest Schedules</t>
  </si>
  <si>
    <t>Plus: Additions</t>
  </si>
  <si>
    <t>Less: Repayments</t>
  </si>
  <si>
    <t>Total Interest Expense</t>
  </si>
  <si>
    <t>Sweep</t>
  </si>
  <si>
    <t>Less: Required Repayments</t>
  </si>
  <si>
    <t>Less: Discretionary Repayments</t>
  </si>
  <si>
    <t>Interest Expense (avg balance)</t>
  </si>
  <si>
    <t>Minimum Cash Balance</t>
  </si>
  <si>
    <t>TOTAL LONG TERM DEBT</t>
  </si>
  <si>
    <t>Identifiable Assets</t>
  </si>
  <si>
    <t>Closing</t>
  </si>
  <si>
    <t>Repayment of Debt</t>
  </si>
  <si>
    <t>Issuance of equity</t>
  </si>
  <si>
    <t>Repurchase of equity</t>
  </si>
  <si>
    <t>Total Debt/EBITDA</t>
  </si>
  <si>
    <t>Net Debt/EBITDA</t>
  </si>
  <si>
    <t>Close</t>
  </si>
  <si>
    <t>Net Debt</t>
  </si>
  <si>
    <t>EBIT/Interest</t>
  </si>
  <si>
    <t>Less: Cash used in Investing</t>
  </si>
  <si>
    <t>Issuance of Debt (line of credit)</t>
  </si>
  <si>
    <t>Plus: Issuance of Equity</t>
  </si>
  <si>
    <t>Cash Available for Discretionary Debt Repayments</t>
  </si>
  <si>
    <t>Total Cash Generated</t>
  </si>
  <si>
    <t>Plus: Cash Generated in Period</t>
  </si>
  <si>
    <t>Less: Minimum Cash Balance</t>
  </si>
  <si>
    <t>Cash Available before Revolver Pay Down</t>
  </si>
  <si>
    <t>Revolver Pay Down</t>
  </si>
  <si>
    <t>Cash Available After Revolver Pay Down</t>
  </si>
  <si>
    <t>DCF Analysis</t>
  </si>
  <si>
    <t>Exit</t>
  </si>
  <si>
    <t>Entry</t>
  </si>
  <si>
    <t>Less: Taxes</t>
  </si>
  <si>
    <t>Less: Capex</t>
  </si>
  <si>
    <t>Plus: D&amp;A</t>
  </si>
  <si>
    <t>Less: Changes in WC</t>
  </si>
  <si>
    <t>Unlevered Free Cash Flow (Free Cash Flow to the Firm)</t>
  </si>
  <si>
    <t>Less: Debt Repayment</t>
  </si>
  <si>
    <t>Levered Free Cash Flow (Free Cash Flow to Equity)</t>
  </si>
  <si>
    <t>Cash Used for Discretionary Payments</t>
  </si>
  <si>
    <t>Terminal Value</t>
  </si>
  <si>
    <t>Exit Year EBITDA</t>
  </si>
  <si>
    <t>Exit Multiple</t>
  </si>
  <si>
    <t>Plus: Cash</t>
  </si>
  <si>
    <t>Less: Debt</t>
  </si>
  <si>
    <t>Terminal Equity Value</t>
  </si>
  <si>
    <t>Terminal Enterprise Value</t>
  </si>
  <si>
    <t>DCF Value</t>
  </si>
  <si>
    <t>Equity Value</t>
  </si>
  <si>
    <t>Discount Rate</t>
  </si>
  <si>
    <t>NPV</t>
  </si>
  <si>
    <t>Internal Rate of Return</t>
  </si>
  <si>
    <t>Unlevered</t>
  </si>
  <si>
    <t>Levered</t>
  </si>
  <si>
    <t>Year Forecast Starts</t>
  </si>
  <si>
    <t>DCF Values</t>
  </si>
  <si>
    <t>IRR Values</t>
  </si>
  <si>
    <t>IRR by Investor Type</t>
  </si>
  <si>
    <t>Sub Debt 1</t>
  </si>
  <si>
    <t>Live Case -&gt;</t>
  </si>
  <si>
    <t>IRR</t>
  </si>
  <si>
    <t>Cash Flow</t>
  </si>
  <si>
    <t>Investor</t>
  </si>
  <si>
    <t>Cash used in Investing</t>
  </si>
  <si>
    <t>Cash from (in) Financing</t>
  </si>
  <si>
    <t>Cash Balance</t>
  </si>
  <si>
    <t>Debt/EBITDA</t>
  </si>
  <si>
    <t>Total Debt Service</t>
  </si>
  <si>
    <t>EBITDA - Capex</t>
  </si>
  <si>
    <t>Debt Service Coverage (EBITDA)</t>
  </si>
  <si>
    <t>Charts &amp; Graphs</t>
  </si>
  <si>
    <t>Working Capital &amp; Depreciation</t>
  </si>
  <si>
    <t>Direct Purchase Price Override</t>
  </si>
  <si>
    <t>Error Checks</t>
  </si>
  <si>
    <t>Operating Balance Sheet Balances</t>
  </si>
  <si>
    <t>Transaction Balance Sheet Balances</t>
  </si>
  <si>
    <t>Sources and Uses of Cash Balance</t>
  </si>
  <si>
    <t>Error Checks -&gt;</t>
  </si>
  <si>
    <t>Acquisition Adjustments</t>
  </si>
  <si>
    <t>Less: Mandatory Debt Repayment</t>
  </si>
  <si>
    <t>Operating Scenarios</t>
  </si>
  <si>
    <t>Cases--&gt;</t>
  </si>
  <si>
    <t>Days in Year</t>
  </si>
  <si>
    <t>Capital Expenditures (% Rev)</t>
  </si>
  <si>
    <t>Depreciation Rate (% PPE)</t>
  </si>
  <si>
    <t>Fiscal Year End (Month)</t>
  </si>
  <si>
    <t>Fiscal Year End (Day)</t>
  </si>
  <si>
    <t>Cash Sweep can't be &gt;100% of Cash Flow</t>
  </si>
  <si>
    <t>Sponsor IRR -&gt;</t>
  </si>
  <si>
    <t>Fixed Charges</t>
  </si>
  <si>
    <t>Current Taxes</t>
  </si>
  <si>
    <t>Entry EV/EBITDA</t>
  </si>
  <si>
    <t>DCF &amp; Rates of Return</t>
  </si>
  <si>
    <t>Mandatory Principal Repayment (Loan Amortization)</t>
  </si>
  <si>
    <t>Retail Co.</t>
  </si>
  <si>
    <t>$ 000s</t>
  </si>
  <si>
    <t>USD</t>
  </si>
  <si>
    <t>Base Case</t>
  </si>
  <si>
    <t>Upside Case</t>
  </si>
  <si>
    <t>Downside Case</t>
  </si>
  <si>
    <t>LIVE CASE</t>
  </si>
  <si>
    <t>na</t>
  </si>
  <si>
    <t>FV Adjust</t>
  </si>
  <si>
    <t>Less: Increase in Working Capital</t>
  </si>
  <si>
    <t>Sponsor Cash-on-Cash</t>
  </si>
  <si>
    <t>Sponsor IRR (Entry vs Exit Multiple)</t>
  </si>
  <si>
    <t>Sponsor IRR (Senior Debt/EBITDA)</t>
  </si>
  <si>
    <t>Sponsor Cash-on-Cash (Entry vs Exit Multiple)</t>
  </si>
  <si>
    <t>Sponsor Cash-on-Cash (Senior Debt/EBITDA)</t>
  </si>
  <si>
    <t>Debt/EBITDA (Term Loan 1)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</si>
  <si>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</si>
  <si>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</si>
  <si>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</si>
  <si>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</si>
  <si>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Debt Principal Repayment = 100%</t>
  </si>
  <si>
    <t>Principal Repayments</t>
  </si>
  <si>
    <t>Debt Service Coverage (EBITDA) / (Interest + Principal)</t>
  </si>
  <si>
    <t>Debt Service Coverage (EBITDA - Capex) / (Interest + Principal)</t>
  </si>
  <si>
    <t>Fixed Charge Coverage (EBITDA - Capex - Taxes ) / (Interest + Principal)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</si>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</sst>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0.0\x"/>
    <numFmt numFmtId="166" formatCode="_-* #,##0_-;\(#,##0\)_-;_-* &quot;-&quot;_-;_-@_-"/>
    <numFmt numFmtId="167" formatCode="_(* #,##0_);_(* \(#,##0\);_(* &quot;-&quot;??_);_(@_)"/>
    <numFmt numFmtId="168" formatCode="0.0%"/>
    <numFmt numFmtId="169" formatCode="0.0000_ ;\-0.0000\ "/>
    <numFmt numFmtId="170" formatCode="0.000"/>
    <numFmt numFmtId="171" formatCode="0\A"/>
    <numFmt numFmtId="172" formatCode="0\F"/>
    <numFmt numFmtId="173" formatCode="0.000_ ;\-0.000\ "/>
    <numFmt numFmtId="174" formatCode="_-* #,##0.00_-;\(#,##0.00\)_-;_-* &quot;-&quot;_-;_-@_-"/>
    <numFmt numFmtId="175" formatCode="0.00\x"/>
    <numFmt numFmtId="176" formatCode="_-* #,##0.0_-;\(#,##0.0\)_-;_-* &quot;-&quot;_-;_-@_-"/>
    <numFmt numFmtId="177" formatCode="0&quot;F&quot;"/>
    <numFmt numFmtId="178" formatCode="_(* #,##0.0_);_(* \(#,##0.0\);_(* &quot;-&quot;?_);_(@_)"/>
    <numFmt numFmtId="179" formatCode="&quot;Year &quot;0"/>
  </numFmts>
  <fonts count="4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8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i/>
      <sz val="12"/>
      <color rgb="FF0000FF"/>
      <name val="Arial Narrow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22"/>
      <color theme="1"/>
      <name val="Arial Narrow"/>
      <family val="2"/>
    </font>
    <font>
      <u/>
      <sz val="10"/>
      <color theme="1"/>
      <name val="Arial"/>
      <family val="2"/>
    </font>
    <font>
      <sz val="10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Arial Narrow"/>
      <family val="2"/>
    </font>
    <font>
      <b/>
      <sz val="12"/>
      <color theme="0"/>
      <name val="Arial Narrow"/>
      <family val="2"/>
    </font>
    <font>
      <sz val="11"/>
      <color theme="0"/>
      <name val="Arial Narro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ADC7ED"/>
      </left>
      <right style="dotted">
        <color rgb="FFADC7ED"/>
      </right>
      <top style="dotted">
        <color rgb="FFADC7ED"/>
      </top>
      <bottom style="dotted">
        <color rgb="FFADC7ED"/>
      </bottom>
      <diagonal/>
    </border>
    <border>
      <left/>
      <right style="thin">
        <color indexed="64"/>
      </right>
      <top/>
      <bottom/>
      <diagonal/>
    </border>
  </borders>
  <cellStyleXfs count="27">
    <xf numFmtId="0" fontId="0" fillId="0" borderId="0"/>
    <xf numFmtId="0" fontId="4" fillId="0" borderId="0" applyAlignment="0"/>
    <xf numFmtId="0" fontId="5" fillId="0" borderId="0" applyAlignment="0"/>
    <xf numFmtId="0" fontId="6" fillId="2" borderId="0" applyAlignment="0"/>
    <xf numFmtId="0" fontId="7" fillId="3" borderId="0" applyAlignment="0"/>
    <xf numFmtId="0" fontId="8" fillId="4" borderId="0" applyAlignment="0"/>
    <xf numFmtId="0" fontId="9" fillId="5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3" fillId="0" borderId="0" applyAlignment="0">
      <alignment wrapText="1"/>
    </xf>
    <xf numFmtId="0" fontId="15" fillId="0" borderId="0" applyAlignment="0"/>
    <xf numFmtId="0" fontId="16" fillId="0" borderId="0" applyAlignment="0"/>
    <xf numFmtId="0" fontId="17" fillId="0" borderId="0" applyAlignment="0"/>
    <xf numFmtId="0" fontId="18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1" fillId="0" borderId="0" applyNumberForma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04">
    <xf numFmtId="0" fontId="0" fillId="0" borderId="0" xfId="0" applyFont="1"/>
    <xf numFmtId="166" fontId="20" fillId="7" borderId="0" xfId="19" applyNumberFormat="1" applyFont="1" applyFill="1" applyProtection="1">
      <protection locked="0"/>
    </xf>
    <xf numFmtId="166" fontId="20" fillId="7" borderId="0" xfId="19" applyNumberFormat="1" applyFont="1" applyFill="1" applyAlignment="1" applyProtection="1">
      <alignment horizontal="center"/>
      <protection locked="0"/>
    </xf>
    <xf numFmtId="166" fontId="23" fillId="7" borderId="0" xfId="19" applyNumberFormat="1" applyFont="1" applyFill="1" applyAlignment="1" applyProtection="1">
      <alignment horizontal="centerContinuous"/>
      <protection locked="0"/>
    </xf>
    <xf numFmtId="166" fontId="20" fillId="0" borderId="0" xfId="19" applyNumberFormat="1" applyFont="1" applyProtection="1">
      <protection locked="0"/>
    </xf>
    <xf numFmtId="166" fontId="24" fillId="7" borderId="0" xfId="19" applyNumberFormat="1" applyFont="1" applyFill="1" applyAlignment="1" applyProtection="1">
      <protection locked="0"/>
    </xf>
    <xf numFmtId="166" fontId="25" fillId="7" borderId="0" xfId="19" applyNumberFormat="1" applyFont="1" applyFill="1" applyAlignment="1" applyProtection="1">
      <protection locked="0"/>
    </xf>
    <xf numFmtId="166" fontId="25" fillId="7" borderId="0" xfId="19" applyNumberFormat="1" applyFont="1" applyFill="1" applyAlignment="1" applyProtection="1">
      <alignment horizontal="center"/>
      <protection locked="0"/>
    </xf>
    <xf numFmtId="166" fontId="20" fillId="0" borderId="0" xfId="19" applyNumberFormat="1" applyFont="1" applyAlignment="1" applyProtection="1">
      <alignment horizontal="center"/>
      <protection locked="0"/>
    </xf>
    <xf numFmtId="166" fontId="26" fillId="0" borderId="0" xfId="19" applyNumberFormat="1" applyFont="1" applyAlignment="1" applyProtection="1">
      <alignment horizontal="right"/>
      <protection locked="0"/>
    </xf>
    <xf numFmtId="166" fontId="24" fillId="6" borderId="0" xfId="19" applyNumberFormat="1" applyFont="1" applyFill="1" applyBorder="1" applyProtection="1">
      <protection locked="0"/>
    </xf>
    <xf numFmtId="166" fontId="27" fillId="6" borderId="0" xfId="19" applyNumberFormat="1" applyFont="1" applyFill="1" applyBorder="1" applyProtection="1">
      <protection locked="0"/>
    </xf>
    <xf numFmtId="166" fontId="27" fillId="6" borderId="0" xfId="19" applyNumberFormat="1" applyFont="1" applyFill="1" applyBorder="1" applyAlignment="1" applyProtection="1">
      <alignment horizontal="center"/>
      <protection locked="0"/>
    </xf>
    <xf numFmtId="166" fontId="27" fillId="0" borderId="0" xfId="19" applyNumberFormat="1" applyFont="1" applyFill="1" applyProtection="1">
      <protection locked="0"/>
    </xf>
    <xf numFmtId="166" fontId="21" fillId="0" borderId="0" xfId="19" applyNumberFormat="1" applyFont="1" applyFill="1" applyProtection="1">
      <protection locked="0"/>
    </xf>
    <xf numFmtId="166" fontId="28" fillId="0" borderId="0" xfId="19" applyNumberFormat="1" applyFont="1" applyProtection="1">
      <protection locked="0"/>
    </xf>
    <xf numFmtId="166" fontId="20" fillId="0" borderId="1" xfId="19" applyNumberFormat="1" applyFont="1" applyBorder="1" applyProtection="1">
      <protection locked="0"/>
    </xf>
    <xf numFmtId="166" fontId="28" fillId="0" borderId="1" xfId="19" applyNumberFormat="1" applyFont="1" applyBorder="1" applyProtection="1">
      <protection locked="0"/>
    </xf>
    <xf numFmtId="166" fontId="28" fillId="0" borderId="1" xfId="19" applyNumberFormat="1" applyFont="1" applyBorder="1" applyAlignment="1" applyProtection="1">
      <alignment horizontal="center"/>
      <protection locked="0"/>
    </xf>
    <xf numFmtId="166" fontId="20" fillId="0" borderId="0" xfId="19" applyNumberFormat="1" applyFont="1" applyBorder="1" applyProtection="1">
      <protection locked="0"/>
    </xf>
    <xf numFmtId="166" fontId="20" fillId="0" borderId="0" xfId="19" applyNumberFormat="1" applyFont="1" applyBorder="1" applyAlignment="1" applyProtection="1">
      <alignment horizontal="center"/>
      <protection locked="0"/>
    </xf>
    <xf numFmtId="166" fontId="27" fillId="0" borderId="0" xfId="19" applyNumberFormat="1" applyFont="1" applyFill="1" applyBorder="1" applyProtection="1">
      <protection locked="0"/>
    </xf>
    <xf numFmtId="166" fontId="28" fillId="0" borderId="0" xfId="19" applyNumberFormat="1" applyFont="1" applyBorder="1" applyProtection="1">
      <protection locked="0"/>
    </xf>
    <xf numFmtId="166" fontId="28" fillId="0" borderId="0" xfId="19" applyNumberFormat="1" applyFont="1" applyBorder="1" applyAlignment="1" applyProtection="1">
      <alignment horizontal="center"/>
      <protection locked="0"/>
    </xf>
    <xf numFmtId="166" fontId="30" fillId="0" borderId="0" xfId="19" applyNumberFormat="1" applyFont="1" applyBorder="1" applyProtection="1">
      <protection locked="0"/>
    </xf>
    <xf numFmtId="166" fontId="29" fillId="0" borderId="0" xfId="19" applyNumberFormat="1" applyFont="1" applyBorder="1" applyProtection="1">
      <protection locked="0"/>
    </xf>
    <xf numFmtId="166" fontId="28" fillId="0" borderId="0" xfId="19" applyNumberFormat="1" applyFont="1" applyAlignment="1" applyProtection="1">
      <alignment horizontal="center"/>
      <protection locked="0"/>
    </xf>
    <xf numFmtId="166" fontId="30" fillId="0" borderId="0" xfId="19" applyNumberFormat="1" applyFont="1" applyProtection="1">
      <protection locked="0"/>
    </xf>
    <xf numFmtId="166" fontId="28" fillId="0" borderId="0" xfId="19" applyNumberFormat="1" applyFont="1" applyFill="1" applyProtection="1">
      <protection locked="0"/>
    </xf>
    <xf numFmtId="166" fontId="21" fillId="0" borderId="0" xfId="19" applyNumberFormat="1" applyFont="1" applyBorder="1" applyProtection="1">
      <protection locked="0"/>
    </xf>
    <xf numFmtId="166" fontId="29" fillId="0" borderId="1" xfId="19" applyNumberFormat="1" applyFont="1" applyBorder="1" applyProtection="1">
      <protection locked="0"/>
    </xf>
    <xf numFmtId="9" fontId="30" fillId="0" borderId="0" xfId="20" applyFont="1" applyBorder="1" applyProtection="1">
      <protection locked="0"/>
    </xf>
    <xf numFmtId="166" fontId="21" fillId="0" borderId="0" xfId="19" applyNumberFormat="1" applyFont="1" applyProtection="1">
      <protection locked="0"/>
    </xf>
    <xf numFmtId="166" fontId="20" fillId="0" borderId="0" xfId="19" applyNumberFormat="1" applyFont="1" applyFill="1" applyProtection="1">
      <protection locked="0"/>
    </xf>
    <xf numFmtId="166" fontId="28" fillId="0" borderId="3" xfId="19" applyNumberFormat="1" applyFont="1" applyBorder="1" applyProtection="1">
      <protection locked="0"/>
    </xf>
    <xf numFmtId="166" fontId="28" fillId="0" borderId="3" xfId="19" applyNumberFormat="1" applyFont="1" applyBorder="1" applyAlignment="1" applyProtection="1">
      <alignment horizontal="center"/>
      <protection locked="0"/>
    </xf>
    <xf numFmtId="166" fontId="29" fillId="0" borderId="3" xfId="19" applyNumberFormat="1" applyFont="1" applyBorder="1" applyProtection="1">
      <protection locked="0"/>
    </xf>
    <xf numFmtId="0" fontId="3" fillId="0" borderId="0" xfId="21" applyProtection="1">
      <protection locked="0"/>
    </xf>
    <xf numFmtId="166" fontId="28" fillId="0" borderId="4" xfId="19" applyNumberFormat="1" applyFont="1" applyBorder="1" applyProtection="1">
      <protection locked="0"/>
    </xf>
    <xf numFmtId="166" fontId="28" fillId="0" borderId="4" xfId="19" applyNumberFormat="1" applyFont="1" applyBorder="1" applyAlignment="1" applyProtection="1">
      <alignment horizontal="center"/>
      <protection locked="0"/>
    </xf>
    <xf numFmtId="166" fontId="29" fillId="0" borderId="4" xfId="19" applyNumberFormat="1" applyFont="1" applyBorder="1" applyProtection="1">
      <protection locked="0"/>
    </xf>
    <xf numFmtId="166" fontId="26" fillId="0" borderId="0" xfId="19" applyNumberFormat="1" applyFont="1" applyProtection="1">
      <protection locked="0"/>
    </xf>
    <xf numFmtId="169" fontId="26" fillId="0" borderId="0" xfId="19" applyNumberFormat="1" applyFont="1" applyProtection="1">
      <protection locked="0"/>
    </xf>
    <xf numFmtId="169" fontId="26" fillId="0" borderId="0" xfId="19" applyNumberFormat="1" applyFont="1" applyAlignment="1" applyProtection="1">
      <alignment horizontal="center"/>
      <protection locked="0"/>
    </xf>
    <xf numFmtId="166" fontId="20" fillId="0" borderId="1" xfId="19" applyNumberFormat="1" applyFont="1" applyBorder="1" applyAlignment="1" applyProtection="1">
      <alignment horizontal="center"/>
      <protection locked="0"/>
    </xf>
    <xf numFmtId="166" fontId="27" fillId="0" borderId="0" xfId="19" applyNumberFormat="1" applyFont="1" applyBorder="1" applyProtection="1">
      <protection locked="0"/>
    </xf>
    <xf numFmtId="166" fontId="27" fillId="0" borderId="1" xfId="19" applyNumberFormat="1" applyFont="1" applyBorder="1" applyProtection="1">
      <protection locked="0"/>
    </xf>
    <xf numFmtId="166" fontId="27" fillId="0" borderId="0" xfId="19" applyNumberFormat="1" applyFont="1" applyProtection="1">
      <protection locked="0"/>
    </xf>
    <xf numFmtId="166" fontId="29" fillId="0" borderId="0" xfId="19" applyNumberFormat="1" applyFont="1" applyProtection="1">
      <protection locked="0"/>
    </xf>
    <xf numFmtId="166" fontId="21" fillId="0" borderId="1" xfId="19" applyNumberFormat="1" applyFont="1" applyBorder="1" applyProtection="1">
      <protection locked="0"/>
    </xf>
    <xf numFmtId="14" fontId="21" fillId="0" borderId="0" xfId="19" applyNumberFormat="1" applyFont="1" applyProtection="1">
      <protection locked="0"/>
    </xf>
    <xf numFmtId="166" fontId="28" fillId="0" borderId="0" xfId="19" applyNumberFormat="1" applyFont="1" applyFill="1" applyAlignment="1" applyProtection="1">
      <alignment horizontal="right"/>
      <protection locked="0"/>
    </xf>
    <xf numFmtId="166" fontId="28" fillId="0" borderId="1" xfId="19" applyNumberFormat="1" applyFont="1" applyFill="1" applyBorder="1" applyProtection="1">
      <protection locked="0"/>
    </xf>
    <xf numFmtId="166" fontId="20" fillId="0" borderId="0" xfId="19" applyNumberFormat="1" applyFont="1" applyAlignment="1" applyProtection="1">
      <alignment horizontal="right"/>
      <protection locked="0"/>
    </xf>
    <xf numFmtId="166" fontId="21" fillId="0" borderId="0" xfId="19" applyNumberFormat="1" applyFont="1" applyAlignment="1" applyProtection="1">
      <alignment horizontal="right"/>
      <protection locked="0"/>
    </xf>
    <xf numFmtId="166" fontId="20" fillId="8" borderId="0" xfId="19" applyNumberFormat="1" applyFont="1" applyFill="1" applyProtection="1">
      <protection locked="0"/>
    </xf>
    <xf numFmtId="166" fontId="20" fillId="9" borderId="0" xfId="19" applyNumberFormat="1" applyFont="1" applyFill="1" applyProtection="1">
      <protection locked="0"/>
    </xf>
    <xf numFmtId="166" fontId="20" fillId="9" borderId="0" xfId="19" applyNumberFormat="1" applyFont="1" applyFill="1" applyAlignment="1" applyProtection="1">
      <alignment horizontal="center"/>
      <protection locked="0"/>
    </xf>
    <xf numFmtId="166" fontId="20" fillId="0" borderId="0" xfId="19" quotePrefix="1" applyNumberFormat="1" applyFont="1" applyProtection="1">
      <protection locked="0"/>
    </xf>
    <xf numFmtId="166" fontId="28" fillId="0" borderId="0" xfId="19" applyNumberFormat="1" applyFont="1" applyAlignment="1" applyProtection="1">
      <alignment horizontal="right"/>
      <protection locked="0"/>
    </xf>
    <xf numFmtId="168" fontId="20" fillId="0" borderId="0" xfId="23" applyNumberFormat="1" applyFont="1" applyProtection="1">
      <protection locked="0"/>
    </xf>
    <xf numFmtId="168" fontId="21" fillId="0" borderId="0" xfId="23" applyNumberFormat="1" applyFont="1" applyProtection="1">
      <protection locked="0"/>
    </xf>
    <xf numFmtId="166" fontId="28" fillId="9" borderId="0" xfId="19" applyNumberFormat="1" applyFont="1" applyFill="1" applyProtection="1">
      <protection locked="0"/>
    </xf>
    <xf numFmtId="166" fontId="28" fillId="9" borderId="0" xfId="19" applyNumberFormat="1" applyFont="1" applyFill="1" applyAlignment="1" applyProtection="1">
      <alignment horizontal="center"/>
      <protection locked="0"/>
    </xf>
    <xf numFmtId="0" fontId="3" fillId="0" borderId="1" xfId="21" applyBorder="1" applyProtection="1">
      <protection locked="0"/>
    </xf>
    <xf numFmtId="166" fontId="28" fillId="0" borderId="3" xfId="19" applyNumberFormat="1" applyFont="1" applyFill="1" applyBorder="1" applyProtection="1">
      <protection locked="0"/>
    </xf>
    <xf numFmtId="166" fontId="28" fillId="0" borderId="0" xfId="19" applyNumberFormat="1" applyFont="1" applyFill="1" applyBorder="1" applyProtection="1">
      <protection locked="0"/>
    </xf>
    <xf numFmtId="166" fontId="26" fillId="0" borderId="0" xfId="19" applyNumberFormat="1" applyFont="1" applyAlignment="1" applyProtection="1">
      <alignment horizontal="center"/>
      <protection locked="0"/>
    </xf>
    <xf numFmtId="170" fontId="26" fillId="0" borderId="0" xfId="19" applyNumberFormat="1" applyFont="1" applyProtection="1">
      <protection locked="0"/>
    </xf>
    <xf numFmtId="166" fontId="28" fillId="8" borderId="1" xfId="19" applyNumberFormat="1" applyFont="1" applyFill="1" applyBorder="1" applyProtection="1">
      <protection locked="0"/>
    </xf>
    <xf numFmtId="166" fontId="28" fillId="8" borderId="3" xfId="19" applyNumberFormat="1" applyFont="1" applyFill="1" applyBorder="1" applyProtection="1">
      <protection locked="0"/>
    </xf>
    <xf numFmtId="166" fontId="28" fillId="8" borderId="0" xfId="19" applyNumberFormat="1" applyFont="1" applyFill="1" applyBorder="1" applyProtection="1">
      <protection locked="0"/>
    </xf>
    <xf numFmtId="166" fontId="28" fillId="8" borderId="0" xfId="19" applyNumberFormat="1" applyFont="1" applyFill="1" applyProtection="1">
      <protection locked="0"/>
    </xf>
    <xf numFmtId="166" fontId="28" fillId="8" borderId="4" xfId="19" applyNumberFormat="1" applyFont="1" applyFill="1" applyBorder="1" applyProtection="1">
      <protection locked="0"/>
    </xf>
    <xf numFmtId="14" fontId="35" fillId="0" borderId="1" xfId="19" applyNumberFormat="1" applyFont="1" applyBorder="1" applyProtection="1">
      <protection locked="0"/>
    </xf>
    <xf numFmtId="166" fontId="34" fillId="0" borderId="0" xfId="19" applyNumberFormat="1" applyFont="1" applyFill="1" applyProtection="1">
      <protection locked="0"/>
    </xf>
    <xf numFmtId="166" fontId="33" fillId="0" borderId="0" xfId="19" applyNumberFormat="1" applyFont="1" applyProtection="1">
      <protection locked="0"/>
    </xf>
    <xf numFmtId="168" fontId="21" fillId="0" borderId="1" xfId="23" applyNumberFormat="1" applyFont="1" applyBorder="1" applyProtection="1">
      <protection locked="0"/>
    </xf>
    <xf numFmtId="0" fontId="3" fillId="0" borderId="0" xfId="16" applyFont="1" applyFill="1" applyBorder="1"/>
    <xf numFmtId="0" fontId="3" fillId="6" borderId="0" xfId="16" applyFont="1" applyFill="1"/>
    <xf numFmtId="0" fontId="36" fillId="0" borderId="0" xfId="16" applyFont="1" applyFill="1" applyBorder="1" applyAlignment="1">
      <alignment horizontal="right"/>
    </xf>
    <xf numFmtId="166" fontId="39" fillId="0" borderId="1" xfId="19" applyNumberFormat="1" applyFont="1" applyBorder="1" applyAlignment="1" applyProtection="1">
      <alignment horizontal="right"/>
      <protection locked="0"/>
    </xf>
    <xf numFmtId="166" fontId="20" fillId="0" borderId="1" xfId="19" applyNumberFormat="1" applyFont="1" applyFill="1" applyBorder="1" applyProtection="1">
      <protection locked="0"/>
    </xf>
    <xf numFmtId="168" fontId="20" fillId="0" borderId="1" xfId="23" applyNumberFormat="1" applyFont="1" applyBorder="1" applyProtection="1">
      <protection locked="0"/>
    </xf>
    <xf numFmtId="0" fontId="37" fillId="0" borderId="0" xfId="16" applyFont="1" applyFill="1" applyBorder="1" applyProtection="1">
      <protection locked="0"/>
    </xf>
    <xf numFmtId="0" fontId="3" fillId="0" borderId="0" xfId="16" applyFont="1" applyFill="1" applyBorder="1" applyProtection="1">
      <protection locked="0"/>
    </xf>
    <xf numFmtId="0" fontId="36" fillId="0" borderId="0" xfId="16" applyFont="1" applyFill="1" applyBorder="1" applyProtection="1">
      <protection locked="0"/>
    </xf>
    <xf numFmtId="0" fontId="32" fillId="0" borderId="0" xfId="22" applyFont="1" applyFill="1" applyBorder="1" applyProtection="1">
      <protection locked="0"/>
    </xf>
    <xf numFmtId="0" fontId="36" fillId="0" borderId="1" xfId="21" applyFont="1" applyBorder="1" applyProtection="1">
      <protection locked="0"/>
    </xf>
    <xf numFmtId="7" fontId="21" fillId="0" borderId="0" xfId="19" applyNumberFormat="1" applyFont="1" applyFill="1" applyProtection="1">
      <protection locked="0"/>
    </xf>
    <xf numFmtId="167" fontId="21" fillId="0" borderId="0" xfId="24" applyNumberFormat="1" applyFont="1" applyProtection="1">
      <protection locked="0"/>
    </xf>
    <xf numFmtId="7" fontId="26" fillId="0" borderId="0" xfId="19" applyNumberFormat="1" applyFont="1" applyProtection="1">
      <protection locked="0"/>
    </xf>
    <xf numFmtId="168" fontId="26" fillId="0" borderId="0" xfId="23" applyNumberFormat="1" applyFont="1" applyProtection="1">
      <protection locked="0"/>
    </xf>
    <xf numFmtId="5" fontId="28" fillId="0" borderId="0" xfId="19" applyNumberFormat="1" applyFont="1" applyAlignment="1" applyProtection="1">
      <alignment horizontal="right"/>
      <protection locked="0"/>
    </xf>
    <xf numFmtId="166" fontId="28" fillId="0" borderId="0" xfId="19" applyNumberFormat="1" applyFont="1" applyBorder="1" applyAlignment="1" applyProtection="1">
      <alignment horizontal="centerContinuous"/>
      <protection locked="0"/>
    </xf>
    <xf numFmtId="168" fontId="21" fillId="8" borderId="0" xfId="23" applyNumberFormat="1" applyFont="1" applyFill="1" applyProtection="1">
      <protection locked="0"/>
    </xf>
    <xf numFmtId="166" fontId="21" fillId="8" borderId="0" xfId="19" applyNumberFormat="1" applyFont="1" applyFill="1" applyAlignment="1" applyProtection="1">
      <alignment horizontal="right"/>
      <protection locked="0"/>
    </xf>
    <xf numFmtId="165" fontId="29" fillId="0" borderId="1" xfId="23" applyNumberFormat="1" applyFont="1" applyBorder="1" applyProtection="1">
      <protection locked="0"/>
    </xf>
    <xf numFmtId="168" fontId="28" fillId="0" borderId="1" xfId="23" applyNumberFormat="1" applyFont="1" applyBorder="1" applyProtection="1">
      <protection locked="0"/>
    </xf>
    <xf numFmtId="168" fontId="21" fillId="8" borderId="1" xfId="23" applyNumberFormat="1" applyFont="1" applyFill="1" applyBorder="1" applyProtection="1">
      <protection locked="0"/>
    </xf>
    <xf numFmtId="166" fontId="21" fillId="8" borderId="1" xfId="19" applyNumberFormat="1" applyFont="1" applyFill="1" applyBorder="1" applyAlignment="1" applyProtection="1">
      <alignment horizontal="right"/>
      <protection locked="0"/>
    </xf>
    <xf numFmtId="168" fontId="20" fillId="0" borderId="0" xfId="23" applyNumberFormat="1" applyFont="1" applyBorder="1" applyProtection="1">
      <protection locked="0"/>
    </xf>
    <xf numFmtId="168" fontId="21" fillId="0" borderId="0" xfId="23" applyNumberFormat="1" applyFont="1" applyBorder="1" applyProtection="1">
      <protection locked="0"/>
    </xf>
    <xf numFmtId="168" fontId="21" fillId="8" borderId="0" xfId="23" applyNumberFormat="1" applyFont="1" applyFill="1" applyBorder="1" applyProtection="1">
      <protection locked="0"/>
    </xf>
    <xf numFmtId="166" fontId="20" fillId="0" borderId="0" xfId="19" applyNumberFormat="1" applyFont="1" applyFill="1" applyAlignment="1" applyProtection="1">
      <alignment horizontal="center"/>
      <protection locked="0"/>
    </xf>
    <xf numFmtId="165" fontId="21" fillId="8" borderId="1" xfId="23" applyNumberFormat="1" applyFont="1" applyFill="1" applyBorder="1" applyAlignment="1" applyProtection="1">
      <alignment horizontal="right"/>
      <protection locked="0"/>
    </xf>
    <xf numFmtId="171" fontId="42" fillId="0" borderId="0" xfId="19" applyNumberFormat="1" applyFont="1" applyAlignment="1" applyProtection="1">
      <alignment horizontal="right"/>
      <protection locked="0"/>
    </xf>
    <xf numFmtId="172" fontId="42" fillId="0" borderId="0" xfId="19" applyNumberFormat="1" applyFont="1" applyAlignment="1" applyProtection="1">
      <alignment horizontal="right"/>
      <protection locked="0"/>
    </xf>
    <xf numFmtId="166" fontId="26" fillId="0" borderId="1" xfId="19" applyNumberFormat="1" applyFont="1" applyBorder="1" applyAlignment="1" applyProtection="1">
      <alignment horizontal="right"/>
      <protection locked="0"/>
    </xf>
    <xf numFmtId="9" fontId="29" fillId="0" borderId="0" xfId="20" applyFont="1" applyBorder="1" applyProtection="1">
      <protection locked="0"/>
    </xf>
    <xf numFmtId="173" fontId="26" fillId="0" borderId="0" xfId="19" applyNumberFormat="1" applyFont="1" applyProtection="1">
      <protection locked="0"/>
    </xf>
    <xf numFmtId="166" fontId="27" fillId="9" borderId="0" xfId="19" applyNumberFormat="1" applyFont="1" applyFill="1" applyProtection="1">
      <protection locked="0"/>
    </xf>
    <xf numFmtId="166" fontId="28" fillId="0" borderId="0" xfId="19" applyNumberFormat="1" applyFont="1" applyFill="1" applyBorder="1" applyAlignment="1" applyProtection="1">
      <alignment horizontal="right"/>
      <protection locked="0"/>
    </xf>
    <xf numFmtId="166" fontId="28" fillId="0" borderId="0" xfId="19" applyNumberFormat="1" applyFont="1" applyBorder="1" applyAlignment="1" applyProtection="1">
      <alignment horizontal="right"/>
      <protection locked="0"/>
    </xf>
    <xf numFmtId="166" fontId="27" fillId="9" borderId="0" xfId="19" applyNumberFormat="1" applyFont="1" applyFill="1" applyAlignment="1" applyProtection="1">
      <alignment horizontal="center"/>
      <protection locked="0"/>
    </xf>
    <xf numFmtId="166" fontId="27" fillId="0" borderId="0" xfId="19" applyNumberFormat="1" applyFont="1" applyFill="1" applyAlignment="1" applyProtection="1">
      <alignment horizontal="center"/>
      <protection locked="0"/>
    </xf>
    <xf numFmtId="166" fontId="27" fillId="0" borderId="1" xfId="19" applyNumberFormat="1" applyFont="1" applyFill="1" applyBorder="1" applyProtection="1">
      <protection locked="0"/>
    </xf>
    <xf numFmtId="166" fontId="27" fillId="0" borderId="1" xfId="19" applyNumberFormat="1" applyFont="1" applyFill="1" applyBorder="1" applyAlignment="1" applyProtection="1">
      <alignment horizontal="center"/>
      <protection locked="0"/>
    </xf>
    <xf numFmtId="166" fontId="29" fillId="9" borderId="0" xfId="19" applyNumberFormat="1" applyFont="1" applyFill="1" applyProtection="1">
      <protection locked="0"/>
    </xf>
    <xf numFmtId="166" fontId="21" fillId="0" borderId="0" xfId="19" applyNumberFormat="1" applyFont="1" applyBorder="1" applyAlignment="1" applyProtection="1">
      <alignment horizontal="right"/>
      <protection locked="0"/>
    </xf>
    <xf numFmtId="9" fontId="28" fillId="0" borderId="0" xfId="23" applyFont="1" applyBorder="1" applyProtection="1">
      <protection locked="0"/>
    </xf>
    <xf numFmtId="166" fontId="28" fillId="0" borderId="0" xfId="19" applyNumberFormat="1" applyFont="1" applyFill="1" applyAlignment="1" applyProtection="1">
      <alignment horizontal="center"/>
      <protection locked="0"/>
    </xf>
    <xf numFmtId="166" fontId="26" fillId="0" borderId="0" xfId="19" applyNumberFormat="1" applyFont="1" applyBorder="1" applyAlignment="1" applyProtection="1">
      <alignment horizontal="right"/>
      <protection locked="0"/>
    </xf>
    <xf numFmtId="165" fontId="20" fillId="0" borderId="0" xfId="19" applyNumberFormat="1" applyFont="1" applyBorder="1" applyProtection="1">
      <protection locked="0"/>
    </xf>
    <xf numFmtId="166" fontId="27" fillId="0" borderId="0" xfId="19" applyNumberFormat="1" applyFont="1" applyBorder="1" applyAlignment="1" applyProtection="1">
      <alignment horizontal="center"/>
      <protection locked="0"/>
    </xf>
    <xf numFmtId="166" fontId="29" fillId="0" borderId="0" xfId="19" applyNumberFormat="1" applyFont="1" applyBorder="1" applyAlignment="1" applyProtection="1">
      <alignment horizontal="center"/>
      <protection locked="0"/>
    </xf>
    <xf numFmtId="166" fontId="29" fillId="0" borderId="1" xfId="19" applyNumberFormat="1" applyFont="1" applyBorder="1" applyAlignment="1" applyProtection="1">
      <alignment horizontal="center"/>
      <protection locked="0"/>
    </xf>
    <xf numFmtId="166" fontId="27" fillId="8" borderId="0" xfId="19" applyNumberFormat="1" applyFont="1" applyFill="1" applyProtection="1">
      <protection locked="0"/>
    </xf>
    <xf numFmtId="172" fontId="42" fillId="8" borderId="0" xfId="19" applyNumberFormat="1" applyFont="1" applyFill="1" applyAlignment="1" applyProtection="1">
      <alignment horizontal="right"/>
      <protection locked="0"/>
    </xf>
    <xf numFmtId="14" fontId="20" fillId="8" borderId="0" xfId="19" applyNumberFormat="1" applyFont="1" applyFill="1" applyBorder="1" applyAlignment="1" applyProtection="1">
      <alignment horizontal="right"/>
      <protection locked="0"/>
    </xf>
    <xf numFmtId="174" fontId="27" fillId="8" borderId="0" xfId="19" applyNumberFormat="1" applyFont="1" applyFill="1" applyBorder="1" applyProtection="1">
      <protection locked="0"/>
    </xf>
    <xf numFmtId="172" fontId="42" fillId="8" borderId="0" xfId="19" applyNumberFormat="1" applyFont="1" applyFill="1" applyBorder="1" applyAlignment="1" applyProtection="1">
      <alignment horizontal="right"/>
      <protection locked="0"/>
    </xf>
    <xf numFmtId="9" fontId="27" fillId="0" borderId="0" xfId="23" applyFont="1" applyFill="1" applyAlignment="1" applyProtection="1">
      <alignment horizontal="center"/>
      <protection locked="0"/>
    </xf>
    <xf numFmtId="165" fontId="20" fillId="0" borderId="0" xfId="19" applyNumberFormat="1" applyFont="1" applyProtection="1">
      <protection locked="0"/>
    </xf>
    <xf numFmtId="166" fontId="20" fillId="8" borderId="0" xfId="19" applyNumberFormat="1" applyFont="1" applyFill="1" applyAlignment="1" applyProtection="1">
      <alignment horizontal="center"/>
      <protection locked="0"/>
    </xf>
    <xf numFmtId="174" fontId="21" fillId="8" borderId="0" xfId="19" applyNumberFormat="1" applyFont="1" applyFill="1" applyBorder="1" applyProtection="1">
      <protection locked="0"/>
    </xf>
    <xf numFmtId="0" fontId="21" fillId="0" borderId="0" xfId="19" applyNumberFormat="1" applyFont="1" applyProtection="1">
      <protection locked="0"/>
    </xf>
    <xf numFmtId="166" fontId="28" fillId="8" borderId="7" xfId="19" applyNumberFormat="1" applyFont="1" applyFill="1" applyBorder="1" applyProtection="1">
      <protection locked="0"/>
    </xf>
    <xf numFmtId="166" fontId="28" fillId="8" borderId="1" xfId="19" applyNumberFormat="1" applyFont="1" applyFill="1" applyBorder="1" applyAlignment="1" applyProtection="1">
      <alignment horizontal="center"/>
      <protection locked="0"/>
    </xf>
    <xf numFmtId="166" fontId="28" fillId="8" borderId="8" xfId="19" applyNumberFormat="1" applyFont="1" applyFill="1" applyBorder="1" applyProtection="1">
      <protection locked="0"/>
    </xf>
    <xf numFmtId="166" fontId="28" fillId="8" borderId="9" xfId="19" applyNumberFormat="1" applyFont="1" applyFill="1" applyBorder="1" applyProtection="1">
      <protection locked="0"/>
    </xf>
    <xf numFmtId="166" fontId="28" fillId="8" borderId="2" xfId="19" applyNumberFormat="1" applyFont="1" applyFill="1" applyBorder="1" applyProtection="1">
      <protection locked="0"/>
    </xf>
    <xf numFmtId="166" fontId="28" fillId="8" borderId="2" xfId="19" applyNumberFormat="1" applyFont="1" applyFill="1" applyBorder="1" applyAlignment="1" applyProtection="1">
      <alignment horizontal="center"/>
      <protection locked="0"/>
    </xf>
    <xf numFmtId="166" fontId="28" fillId="8" borderId="10" xfId="19" applyNumberFormat="1" applyFont="1" applyFill="1" applyBorder="1" applyProtection="1">
      <protection locked="0"/>
    </xf>
    <xf numFmtId="166" fontId="30" fillId="8" borderId="1" xfId="19" applyNumberFormat="1" applyFont="1" applyFill="1" applyBorder="1" applyProtection="1">
      <protection locked="0"/>
    </xf>
    <xf numFmtId="175" fontId="21" fillId="8" borderId="0" xfId="23" applyNumberFormat="1" applyFont="1" applyFill="1" applyBorder="1" applyProtection="1">
      <protection locked="0"/>
    </xf>
    <xf numFmtId="166" fontId="43" fillId="7" borderId="0" xfId="19" applyNumberFormat="1" applyFont="1" applyFill="1" applyAlignment="1" applyProtection="1">
      <alignment horizontal="center"/>
      <protection locked="0"/>
    </xf>
    <xf numFmtId="168" fontId="43" fillId="7" borderId="0" xfId="23" applyNumberFormat="1" applyFont="1" applyFill="1" applyAlignment="1" applyProtection="1">
      <alignment horizontal="center"/>
      <protection locked="0"/>
    </xf>
    <xf numFmtId="166" fontId="43" fillId="7" borderId="11" xfId="19" applyNumberFormat="1" applyFont="1" applyFill="1" applyBorder="1" applyAlignment="1" applyProtection="1">
      <alignment horizontal="center"/>
      <protection locked="0"/>
    </xf>
    <xf numFmtId="166" fontId="22" fillId="7" borderId="0" xfId="19" applyNumberFormat="1" applyFont="1" applyFill="1" applyAlignment="1" applyProtection="1">
      <alignment vertical="center"/>
      <protection locked="0"/>
    </xf>
    <xf numFmtId="166" fontId="28" fillId="8" borderId="0" xfId="19" applyNumberFormat="1" applyFont="1" applyFill="1" applyBorder="1" applyAlignment="1" applyProtection="1">
      <alignment horizontal="right"/>
      <protection locked="0"/>
    </xf>
    <xf numFmtId="166" fontId="27" fillId="8" borderId="0" xfId="19" applyNumberFormat="1" applyFont="1" applyFill="1" applyBorder="1" applyProtection="1">
      <protection locked="0"/>
    </xf>
    <xf numFmtId="176" fontId="20" fillId="0" borderId="0" xfId="19" applyNumberFormat="1" applyFont="1" applyProtection="1">
      <protection locked="0"/>
    </xf>
    <xf numFmtId="166" fontId="20" fillId="0" borderId="5" xfId="19" applyNumberFormat="1" applyFont="1" applyBorder="1" applyAlignment="1" applyProtection="1">
      <alignment horizontal="center"/>
      <protection locked="0"/>
    </xf>
    <xf numFmtId="166" fontId="27" fillId="0" borderId="0" xfId="19" applyNumberFormat="1" applyFont="1" applyAlignment="1" applyProtection="1">
      <alignment horizontal="right"/>
      <protection locked="0"/>
    </xf>
    <xf numFmtId="166" fontId="21" fillId="8" borderId="0" xfId="19" applyNumberFormat="1" applyFont="1" applyFill="1" applyProtection="1">
      <protection locked="0"/>
    </xf>
    <xf numFmtId="0" fontId="31" fillId="0" borderId="1" xfId="22" applyFill="1" applyBorder="1" applyProtection="1">
      <protection locked="0"/>
    </xf>
    <xf numFmtId="166" fontId="20" fillId="9" borderId="0" xfId="19" applyNumberFormat="1" applyFont="1" applyFill="1" applyBorder="1" applyProtection="1">
      <protection locked="0"/>
    </xf>
    <xf numFmtId="167" fontId="21" fillId="0" borderId="0" xfId="24" applyNumberFormat="1" applyFont="1" applyBorder="1" applyProtection="1">
      <protection locked="0"/>
    </xf>
    <xf numFmtId="168" fontId="21" fillId="0" borderId="0" xfId="23" applyNumberFormat="1" applyFont="1" applyFill="1" applyBorder="1" applyProtection="1">
      <protection locked="0"/>
    </xf>
    <xf numFmtId="177" fontId="29" fillId="9" borderId="0" xfId="19" applyNumberFormat="1" applyFont="1" applyFill="1" applyBorder="1" applyAlignment="1" applyProtection="1">
      <alignment horizontal="right"/>
      <protection locked="0"/>
    </xf>
    <xf numFmtId="168" fontId="27" fillId="0" borderId="1" xfId="23" applyNumberFormat="1" applyFont="1" applyBorder="1" applyProtection="1">
      <protection locked="0"/>
    </xf>
    <xf numFmtId="168" fontId="27" fillId="0" borderId="0" xfId="23" applyNumberFormat="1" applyFont="1" applyProtection="1">
      <protection locked="0"/>
    </xf>
    <xf numFmtId="167" fontId="27" fillId="0" borderId="0" xfId="24" applyNumberFormat="1" applyFont="1" applyProtection="1">
      <protection locked="0"/>
    </xf>
    <xf numFmtId="167" fontId="27" fillId="0" borderId="0" xfId="24" applyNumberFormat="1" applyFont="1" applyBorder="1" applyProtection="1">
      <protection locked="0"/>
    </xf>
    <xf numFmtId="168" fontId="27" fillId="0" borderId="0" xfId="23" applyNumberFormat="1" applyFont="1" applyFill="1" applyBorder="1" applyProtection="1">
      <protection locked="0"/>
    </xf>
    <xf numFmtId="10" fontId="27" fillId="0" borderId="0" xfId="23" applyNumberFormat="1" applyFont="1" applyFill="1" applyProtection="1">
      <protection locked="0"/>
    </xf>
    <xf numFmtId="167" fontId="20" fillId="0" borderId="0" xfId="19" applyNumberFormat="1" applyFont="1" applyProtection="1">
      <protection locked="0"/>
    </xf>
    <xf numFmtId="168" fontId="21" fillId="0" borderId="0" xfId="23" applyNumberFormat="1" applyFont="1" applyFill="1" applyProtection="1">
      <protection locked="0"/>
    </xf>
    <xf numFmtId="166" fontId="27" fillId="8" borderId="0" xfId="19" applyNumberFormat="1" applyFont="1" applyFill="1" applyAlignment="1" applyProtection="1">
      <alignment horizontal="right"/>
      <protection locked="0"/>
    </xf>
    <xf numFmtId="166" fontId="28" fillId="8" borderId="1" xfId="19" applyNumberFormat="1" applyFont="1" applyFill="1" applyBorder="1" applyAlignment="1" applyProtection="1">
      <alignment horizontal="centerContinuous"/>
      <protection locked="0"/>
    </xf>
    <xf numFmtId="14" fontId="28" fillId="8" borderId="0" xfId="19" applyNumberFormat="1" applyFont="1" applyFill="1" applyProtection="1">
      <protection locked="0"/>
    </xf>
    <xf numFmtId="165" fontId="20" fillId="0" borderId="0" xfId="19" applyNumberFormat="1" applyFont="1" applyAlignment="1" applyProtection="1">
      <alignment horizontal="right"/>
      <protection locked="0"/>
    </xf>
    <xf numFmtId="166" fontId="20" fillId="0" borderId="0" xfId="19" applyNumberFormat="1" applyFont="1" applyAlignment="1" applyProtection="1">
      <alignment horizontal="centerContinuous"/>
      <protection locked="0"/>
    </xf>
    <xf numFmtId="9" fontId="23" fillId="0" borderId="0" xfId="23" applyFont="1" applyAlignment="1" applyProtection="1">
      <alignment horizontal="right"/>
      <protection locked="0"/>
    </xf>
    <xf numFmtId="165" fontId="20" fillId="0" borderId="1" xfId="19" applyNumberFormat="1" applyFont="1" applyBorder="1" applyAlignment="1" applyProtection="1">
      <alignment horizontal="right"/>
      <protection locked="0"/>
    </xf>
    <xf numFmtId="165" fontId="20" fillId="0" borderId="12" xfId="19" applyNumberFormat="1" applyFont="1" applyBorder="1" applyAlignment="1" applyProtection="1">
      <alignment horizontal="right"/>
      <protection locked="0"/>
    </xf>
    <xf numFmtId="166" fontId="28" fillId="9" borderId="0" xfId="19" applyNumberFormat="1" applyFont="1" applyFill="1" applyAlignment="1" applyProtection="1">
      <alignment horizontal="centerContinuous"/>
      <protection locked="0"/>
    </xf>
    <xf numFmtId="165" fontId="20" fillId="0" borderId="1" xfId="23" applyNumberFormat="1" applyFont="1" applyBorder="1" applyProtection="1">
      <protection locked="0"/>
    </xf>
    <xf numFmtId="165" fontId="20" fillId="0" borderId="0" xfId="23" applyNumberFormat="1" applyFont="1" applyProtection="1">
      <protection locked="0"/>
    </xf>
    <xf numFmtId="165" fontId="21" fillId="0" borderId="0" xfId="23" applyNumberFormat="1" applyFont="1" applyBorder="1" applyAlignment="1" applyProtection="1">
      <alignment horizontal="right"/>
      <protection locked="0"/>
    </xf>
    <xf numFmtId="7" fontId="33" fillId="0" borderId="0" xfId="19" applyNumberFormat="1" applyFont="1" applyBorder="1" applyAlignment="1" applyProtection="1">
      <alignment horizontal="right"/>
      <protection locked="0"/>
    </xf>
    <xf numFmtId="178" fontId="20" fillId="0" borderId="0" xfId="19" applyNumberFormat="1" applyFont="1" applyProtection="1">
      <protection locked="0"/>
    </xf>
    <xf numFmtId="178" fontId="28" fillId="0" borderId="1" xfId="19" applyNumberFormat="1" applyFont="1" applyBorder="1" applyProtection="1">
      <protection locked="0"/>
    </xf>
    <xf numFmtId="179" fontId="28" fillId="0" borderId="6" xfId="19" applyNumberFormat="1" applyFont="1" applyFill="1" applyBorder="1" applyAlignment="1" applyProtection="1">
      <alignment horizontal="right"/>
      <protection locked="0"/>
    </xf>
    <xf numFmtId="179" fontId="28" fillId="0" borderId="1" xfId="19" applyNumberFormat="1" applyFont="1" applyFill="1" applyBorder="1" applyAlignment="1" applyProtection="1">
      <alignment horizontal="right"/>
      <protection locked="0"/>
    </xf>
    <xf numFmtId="166" fontId="20" fillId="0" borderId="1" xfId="19" applyNumberFormat="1" applyFont="1" applyFill="1" applyBorder="1" applyAlignment="1" applyProtection="1">
      <alignment horizontal="center"/>
      <protection locked="0"/>
    </xf>
    <xf numFmtId="166" fontId="29" fillId="0" borderId="1" xfId="19" applyNumberFormat="1" applyFont="1" applyFill="1" applyBorder="1" applyProtection="1">
      <protection locked="0"/>
    </xf>
    <xf numFmtId="166" fontId="30" fillId="0" borderId="0" xfId="19" applyNumberFormat="1" applyFont="1" applyFill="1" applyBorder="1" applyProtection="1">
      <protection locked="0"/>
    </xf>
    <xf numFmtId="166" fontId="21" fillId="0" borderId="0" xfId="19" applyNumberFormat="1" applyFont="1" applyFill="1" applyBorder="1" applyProtection="1">
      <protection locked="0"/>
    </xf>
    <xf numFmtId="166" fontId="20" fillId="0" borderId="0" xfId="19" applyNumberFormat="1" applyFont="1" applyFill="1" applyBorder="1" applyProtection="1">
      <protection locked="0"/>
    </xf>
    <xf numFmtId="165" fontId="23" fillId="0" borderId="0" xfId="19" applyNumberFormat="1" applyFont="1" applyBorder="1" applyAlignment="1" applyProtection="1">
      <alignment horizontal="right"/>
      <protection locked="0"/>
    </xf>
    <xf numFmtId="172" fontId="28" fillId="0" borderId="0" xfId="19" applyNumberFormat="1" applyFont="1" applyProtection="1">
      <protection locked="0"/>
    </xf>
    <xf numFmtId="0" fontId="2" fillId="6" borderId="0" xfId="25" applyFont="1" applyFill="1"/>
    <xf numFmtId="0" fontId="2" fillId="0" borderId="0" xfId="25" applyFont="1" applyFill="1" applyBorder="1"/>
    <xf numFmtId="0" fontId="2" fillId="0" borderId="1" xfId="25" applyFont="1" applyFill="1" applyBorder="1"/>
    <xf numFmtId="0" fontId="38" fillId="0" borderId="0" xfId="26" applyFont="1" applyFill="1" applyBorder="1"/>
    <xf numFmtId="0" fontId="44" fillId="7" borderId="0" xfId="25" applyFont="1" applyFill="1" applyBorder="1"/>
    <xf numFmtId="0" fontId="2" fillId="7" borderId="0" xfId="25" applyFont="1" applyFill="1" applyBorder="1"/>
    <xf numFmtId="0" fontId="2" fillId="10" borderId="0" xfId="25" applyFont="1" applyFill="1"/>
    <xf numFmtId="0" fontId="44" fillId="7" borderId="0" xfId="25" applyFont="1" applyFill="1"/>
    <xf numFmtId="166" fontId="27" fillId="0" borderId="0" xfId="19" applyNumberFormat="1" applyFont="1" applyAlignment="1" applyProtection="1">
      <alignment horizontal="center"/>
      <protection locked="0"/>
    </xf>
    <xf numFmtId="166" fontId="27" fillId="0" borderId="1" xfId="19" applyNumberFormat="1" applyFont="1" applyBorder="1" applyAlignment="1" applyProtection="1">
      <alignment horizontal="center"/>
      <protection locked="0"/>
    </xf>
    <xf numFmtId="9" fontId="27" fillId="0" borderId="0" xfId="23" applyFont="1" applyAlignment="1" applyProtection="1">
      <alignment horizontal="center"/>
      <protection locked="0"/>
    </xf>
  </cellXfs>
  <cellStyles count="27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" xfId="24" builtinId="3"/>
    <cellStyle name="Comma 2" xfId="17" xr:uid="{00000000-0005-0000-0000-000004000000}"/>
    <cellStyle name="Comma 3" xfId="19" xr:uid="{00000000-0005-0000-0000-000005000000}"/>
    <cellStyle name="Hyperlink" xfId="22" builtinId="8"/>
    <cellStyle name="Hyperlink 2 2" xfId="26" xr:uid="{019F1D6C-81B7-4475-91DF-64A12CD48ABC}"/>
    <cellStyle name="Invisible" xfId="13" xr:uid="{00000000-0005-0000-0000-000007000000}"/>
    <cellStyle name="NewColumnHeaderNormal" xfId="4" xr:uid="{00000000-0005-0000-0000-000008000000}"/>
    <cellStyle name="NewSectionHeaderNormal" xfId="3" xr:uid="{00000000-0005-0000-0000-000009000000}"/>
    <cellStyle name="NewTitleNormal" xfId="2" xr:uid="{00000000-0005-0000-0000-00000A000000}"/>
    <cellStyle name="Normal" xfId="0" builtinId="0"/>
    <cellStyle name="Normal 2" xfId="16" xr:uid="{00000000-0005-0000-0000-00000C000000}"/>
    <cellStyle name="Normal 2 2" xfId="25" xr:uid="{9690AEFD-920F-42C2-9315-7ECD9F3A7B59}"/>
    <cellStyle name="Normal 3" xfId="21" xr:uid="{00000000-0005-0000-0000-00000D000000}"/>
    <cellStyle name="Percent" xfId="23" builtinId="5"/>
    <cellStyle name="Percent 2" xfId="18" xr:uid="{00000000-0005-0000-0000-00000F000000}"/>
    <cellStyle name="Percent 3" xfId="20" xr:uid="{00000000-0005-0000-0000-000010000000}"/>
    <cellStyle name="SectionHeaderNormal" xfId="5" xr:uid="{00000000-0005-0000-0000-000011000000}"/>
    <cellStyle name="SubScript" xfId="9" xr:uid="{00000000-0005-0000-0000-000012000000}"/>
    <cellStyle name="SuperScript" xfId="8" xr:uid="{00000000-0005-0000-0000-000013000000}"/>
    <cellStyle name="TextBold" xfId="10" xr:uid="{00000000-0005-0000-0000-000014000000}"/>
    <cellStyle name="TextItalic" xfId="11" xr:uid="{00000000-0005-0000-0000-000015000000}"/>
    <cellStyle name="TextNormal" xfId="7" xr:uid="{00000000-0005-0000-0000-000016000000}"/>
    <cellStyle name="TitleNormal" xfId="1" xr:uid="{00000000-0005-0000-0000-000017000000}"/>
    <cellStyle name="Total" xfId="12" builtinId="25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0000FF"/>
      <color rgb="FFED942D"/>
      <color rgb="FF132E57"/>
      <color rgb="FFFA621C"/>
      <color rgb="FF1E8496"/>
      <color rgb="FF1E8432"/>
      <color rgb="FFADC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3670166229222"/>
          <c:y val="2.8936278798483508E-2"/>
          <c:w val="0.8378077427821522"/>
          <c:h val="0.863664333624963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'Leveraged Buyout (LBO) Model'!$A$363</c:f>
              <c:strCache>
                <c:ptCount val="1"/>
                <c:pt idx="0">
                  <c:v> Cash from Operations 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val>
            <c:numRef>
              <c:f>'Leveraged Buyout (LBO) Model'!$E$363:$K$363</c:f>
              <c:numCache>
                <c:formatCode>_-* #,##0_-;\(#,##0\)_-;_-* "-"_-;_-@_-</c:formatCode>
                <c:ptCount val="7"/>
                <c:pt idx="0">
                  <c:v>17222.50864010107</c:v>
                </c:pt>
                <c:pt idx="1">
                  <c:v>19473.682994012881</c:v>
                </c:pt>
                <c:pt idx="2">
                  <c:v>20825.582017495432</c:v>
                </c:pt>
                <c:pt idx="3">
                  <c:v>22224.751748769697</c:v>
                </c:pt>
                <c:pt idx="4">
                  <c:v>24213.54115756063</c:v>
                </c:pt>
                <c:pt idx="5">
                  <c:v>25699.921563756863</c:v>
                </c:pt>
                <c:pt idx="6">
                  <c:v>27732.824563497888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'Leveraged Buyout (LBO) Model'!$E$362:$K$362</c15:sqref>
                        </c15:formulaRef>
                      </c:ext>
                    </c:extLst>
                    <c:numCache>
                      <c:formatCode>0\F</c:formatCode>
                      <c:ptCount val="7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A69-4F61-9686-77A4A123CD04}"/>
            </c:ext>
          </c:extLst>
        </c:ser>
        <c:ser>
          <c:idx val="1"/>
          <c:order val="1"/>
          <c:tx>
            <c:strRef>
              <c:f>'Leveraged Buyout (LBO) Model'!$A$364</c:f>
              <c:strCache>
                <c:ptCount val="1"/>
                <c:pt idx="0">
                  <c:v> Cash used in Investing </c:v>
                </c:pt>
              </c:strCache>
            </c:strRef>
          </c:tx>
          <c:spPr>
            <a:solidFill>
              <a:srgbClr val="ED942D"/>
            </a:solidFill>
            <a:ln>
              <a:noFill/>
            </a:ln>
            <a:effectLst/>
          </c:spPr>
          <c:invertIfNegative val="0"/>
          <c:val>
            <c:numRef>
              <c:f>'Leveraged Buyout (LBO) Model'!$E$364:$K$364</c:f>
              <c:numCache>
                <c:formatCode>_-* #,##0_-;\(#,##0\)_-;_-* "-"_-;_-@_-</c:formatCode>
                <c:ptCount val="7"/>
                <c:pt idx="0">
                  <c:v>-6979.1412130376348</c:v>
                </c:pt>
                <c:pt idx="1">
                  <c:v>-7188.5154494287644</c:v>
                </c:pt>
                <c:pt idx="2">
                  <c:v>-6968.6314474462379</c:v>
                </c:pt>
                <c:pt idx="3">
                  <c:v>-7177.6903908696258</c:v>
                </c:pt>
                <c:pt idx="4">
                  <c:v>-7393.0211025957151</c:v>
                </c:pt>
                <c:pt idx="5">
                  <c:v>-7138.8860021939872</c:v>
                </c:pt>
                <c:pt idx="6">
                  <c:v>-7353.0525822598065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4F61-9686-77A4A123CD04}"/>
            </c:ext>
          </c:extLst>
        </c:ser>
        <c:ser>
          <c:idx val="2"/>
          <c:order val="2"/>
          <c:tx>
            <c:strRef>
              <c:f>'Leveraged Buyout (LBO) Model'!$A$365</c:f>
              <c:strCache>
                <c:ptCount val="1"/>
                <c:pt idx="0">
                  <c:v> Cash from (in) Financing </c:v>
                </c:pt>
              </c:strCache>
            </c:strRef>
          </c:tx>
          <c:spPr>
            <a:solidFill>
              <a:srgbClr val="1E8496"/>
            </a:solidFill>
            <a:ln>
              <a:noFill/>
            </a:ln>
            <a:effectLst/>
          </c:spPr>
          <c:invertIfNegative val="0"/>
          <c:val>
            <c:numRef>
              <c:f>'Leveraged Buyout (LBO) Model'!$E$365:$K$365</c:f>
              <c:numCache>
                <c:formatCode>_-* #,##0_-;\(#,##0\)_-;_-* "-"_-;_-@_-</c:formatCode>
                <c:ptCount val="7"/>
                <c:pt idx="0">
                  <c:v>-10243.367427063422</c:v>
                </c:pt>
                <c:pt idx="1">
                  <c:v>-12285.167544584117</c:v>
                </c:pt>
                <c:pt idx="2">
                  <c:v>-13856.950570049186</c:v>
                </c:pt>
                <c:pt idx="3">
                  <c:v>-15047.061357900035</c:v>
                </c:pt>
                <c:pt idx="4">
                  <c:v>-16820.520054965193</c:v>
                </c:pt>
                <c:pt idx="5">
                  <c:v>-18561.035561549968</c:v>
                </c:pt>
                <c:pt idx="6">
                  <c:v>-20379.771979838413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9-4F61-9686-77A4A123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34661080"/>
        <c:axId val="734661408"/>
      </c:barChart>
      <c:lineChart>
        <c:grouping val="standard"/>
        <c:varyColors val="0"/>
        <c:ser>
          <c:idx val="3"/>
          <c:order val="3"/>
          <c:tx>
            <c:strRef>
              <c:f>'Leveraged Buyout (LBO) Model'!$A$366</c:f>
              <c:strCache>
                <c:ptCount val="1"/>
                <c:pt idx="0">
                  <c:v> Cash Balance 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none"/>
          </c:marker>
          <c:val>
            <c:numRef>
              <c:f>'Leveraged Buyout (LBO) Model'!$E$366:$K$366</c:f>
              <c:numCache>
                <c:formatCode>_-* #,##0_-;\(#,##0\)_-;_-* "-"_-;_-@_-</c:formatCode>
                <c:ptCount val="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10000.000000000036</c:v>
                </c:pt>
                <c:pt idx="4">
                  <c:v>9999.9999999998872</c:v>
                </c:pt>
                <c:pt idx="5">
                  <c:v>10000.000000013224</c:v>
                </c:pt>
                <c:pt idx="6">
                  <c:v>10000.000001442713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9-4F61-9686-77A4A123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61080"/>
        <c:axId val="734661408"/>
      </c:lineChart>
      <c:catAx>
        <c:axId val="734661080"/>
        <c:scaling>
          <c:orientation val="minMax"/>
        </c:scaling>
        <c:delete val="0"/>
        <c:axPos val="b"/>
        <c:numFmt formatCode="0\F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408"/>
        <c:crosses val="autoZero"/>
        <c:auto val="1"/>
        <c:lblAlgn val="ctr"/>
        <c:lblOffset val="100"/>
        <c:noMultiLvlLbl val="0"/>
      </c:catAx>
      <c:valAx>
        <c:axId val="734661408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937121095157223"/>
          <c:y val="1.9393939393939394E-2"/>
          <c:w val="0.70282620554783592"/>
          <c:h val="0.12242538773562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3670166229222"/>
          <c:y val="7.5232575094779819E-2"/>
          <c:w val="0.8378077427821522"/>
          <c:h val="0.81736803732866725"/>
        </c:manualLayout>
      </c:layout>
      <c:lineChart>
        <c:grouping val="standard"/>
        <c:varyColors val="0"/>
        <c:ser>
          <c:idx val="3"/>
          <c:order val="0"/>
          <c:tx>
            <c:strRef>
              <c:f>'Leveraged Buyout (LBO) Model'!$A$369</c:f>
              <c:strCache>
                <c:ptCount val="1"/>
                <c:pt idx="0">
                  <c:v> Debt/EBITDA 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'Leveraged Buyout (LBO) Model'!$E$369:$K$369</c:f>
              <c:numCache>
                <c:formatCode>0.0\x</c:formatCode>
                <c:ptCount val="7"/>
                <c:pt idx="0">
                  <c:v>3.4858134457619925</c:v>
                </c:pt>
                <c:pt idx="1">
                  <c:v>2.9769235542135775</c:v>
                </c:pt>
                <c:pt idx="2">
                  <c:v>2.4576305393916908</c:v>
                </c:pt>
                <c:pt idx="3">
                  <c:v>1.9335534088194197</c:v>
                </c:pt>
                <c:pt idx="4">
                  <c:v>1.3719313264076869</c:v>
                </c:pt>
                <c:pt idx="5">
                  <c:v>0.8358331850219477</c:v>
                </c:pt>
                <c:pt idx="6">
                  <c:v>0.27071988622445414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'Leveraged Buyout (LBO) Model'!$E$362:$K$362</c15:sqref>
                        </c15:formulaRef>
                      </c:ext>
                    </c:extLst>
                    <c:numCache>
                      <c:formatCode>0\F</c:formatCode>
                      <c:ptCount val="7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702-4BB6-8E5B-B35440D8412F}"/>
            </c:ext>
          </c:extLst>
        </c:ser>
        <c:ser>
          <c:idx val="1"/>
          <c:order val="1"/>
          <c:tx>
            <c:strRef>
              <c:f>'Leveraged Buyout (LBO) Model'!$A$370</c:f>
              <c:strCache>
                <c:ptCount val="1"/>
                <c:pt idx="0">
                  <c:v> Debt Service Coverage (EBITDA) </c:v>
                </c:pt>
              </c:strCache>
            </c:strRef>
          </c:tx>
          <c:spPr>
            <a:ln w="28575" cap="rnd">
              <a:solidFill>
                <a:srgbClr val="1E8496"/>
              </a:solidFill>
              <a:round/>
            </a:ln>
            <a:effectLst/>
          </c:spPr>
          <c:marker>
            <c:symbol val="none"/>
          </c:marker>
          <c:val>
            <c:numRef>
              <c:f>'Leveraged Buyout (LBO) Model'!$E$370:$K$370</c:f>
              <c:numCache>
                <c:formatCode>0.0\x</c:formatCode>
                <c:ptCount val="7"/>
                <c:pt idx="0">
                  <c:v>1.7605474740386327</c:v>
                </c:pt>
                <c:pt idx="1">
                  <c:v>1.6896564696226859</c:v>
                </c:pt>
                <c:pt idx="2">
                  <c:v>1.6704113610559168</c:v>
                </c:pt>
                <c:pt idx="3">
                  <c:v>1.6967794640886122</c:v>
                </c:pt>
                <c:pt idx="4">
                  <c:v>0.98557671641158073</c:v>
                </c:pt>
                <c:pt idx="5">
                  <c:v>1.4645112628869938</c:v>
                </c:pt>
                <c:pt idx="6">
                  <c:v>1.7705923426711569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2-4BB6-8E5B-B35440D8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61080"/>
        <c:axId val="734661408"/>
      </c:lineChart>
      <c:catAx>
        <c:axId val="734661080"/>
        <c:scaling>
          <c:orientation val="minMax"/>
        </c:scaling>
        <c:delete val="0"/>
        <c:axPos val="b"/>
        <c:numFmt formatCode="0\F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408"/>
        <c:crosses val="autoZero"/>
        <c:auto val="1"/>
        <c:lblAlgn val="ctr"/>
        <c:lblOffset val="100"/>
        <c:noMultiLvlLbl val="0"/>
      </c:catAx>
      <c:valAx>
        <c:axId val="734661408"/>
        <c:scaling>
          <c:orientation val="minMax"/>
        </c:scaling>
        <c:delete val="0"/>
        <c:axPos val="l"/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082327209098862"/>
          <c:y val="2.7777777777777776E-2"/>
          <c:w val="0.52668678915135603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3670166229222"/>
          <c:y val="2.8936278798483508E-2"/>
          <c:w val="0.8378077427821522"/>
          <c:h val="0.863664333624963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'Leveraged Buyout (LBO) Model'!$A$368</c:f>
              <c:strCache>
                <c:ptCount val="1"/>
                <c:pt idx="0">
                  <c:v> Total Debt 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val>
            <c:numRef>
              <c:f>'Leveraged Buyout (LBO) Model'!$E$368:$K$368</c:f>
              <c:numCache>
                <c:formatCode>_-* #,##0_-;\(#,##0\)_-;_-* "-"_-;_-@_-</c:formatCode>
                <c:ptCount val="7"/>
                <c:pt idx="0">
                  <c:v>107256.63257293658</c:v>
                </c:pt>
                <c:pt idx="1">
                  <c:v>94971.465028352453</c:v>
                </c:pt>
                <c:pt idx="2">
                  <c:v>81114.514458303282</c:v>
                </c:pt>
                <c:pt idx="3">
                  <c:v>66067.453100403247</c:v>
                </c:pt>
                <c:pt idx="4">
                  <c:v>49246.9330454382</c:v>
                </c:pt>
                <c:pt idx="5">
                  <c:v>30685.897483888646</c:v>
                </c:pt>
                <c:pt idx="6">
                  <c:v>10306.125504080228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'Leveraged Buyout (LBO) Model'!$E$362:$K$362</c15:sqref>
                        </c15:formulaRef>
                      </c:ext>
                    </c:extLst>
                    <c:numCache>
                      <c:formatCode>0\F</c:formatCode>
                      <c:ptCount val="7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878-4538-B62B-127436657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34661080"/>
        <c:axId val="734661408"/>
      </c:barChart>
      <c:catAx>
        <c:axId val="734661080"/>
        <c:scaling>
          <c:orientation val="minMax"/>
        </c:scaling>
        <c:delete val="0"/>
        <c:axPos val="b"/>
        <c:numFmt formatCode="0\F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408"/>
        <c:crosses val="autoZero"/>
        <c:auto val="1"/>
        <c:lblAlgn val="ctr"/>
        <c:lblOffset val="100"/>
        <c:noMultiLvlLbl val="0"/>
      </c:catAx>
      <c:valAx>
        <c:axId val="734661408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659287</xdr:colOff>
      <xdr:row>9</xdr:row>
      <xdr:rowOff>114300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3AAFE5-1D2B-445D-A422-7ECC1F997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762000"/>
          <a:ext cx="33599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374</xdr:row>
      <xdr:rowOff>47625</xdr:rowOff>
    </xdr:from>
    <xdr:to>
      <xdr:col>4</xdr:col>
      <xdr:colOff>700087</xdr:colOff>
      <xdr:row>387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D2BD8-D8E3-4CBA-A252-CFAACD8FA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374</xdr:row>
      <xdr:rowOff>161925</xdr:rowOff>
    </xdr:from>
    <xdr:to>
      <xdr:col>9</xdr:col>
      <xdr:colOff>266700</xdr:colOff>
      <xdr:row>388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33E36-F229-4753-B9BF-C6EA0C4F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374</xdr:row>
      <xdr:rowOff>171450</xdr:rowOff>
    </xdr:from>
    <xdr:to>
      <xdr:col>13</xdr:col>
      <xdr:colOff>914400</xdr:colOff>
      <xdr:row>388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0DA32-75AF-4348-AEC5-FC57A769D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142876</xdr:colOff>
      <xdr:row>340</xdr:row>
      <xdr:rowOff>95250</xdr:rowOff>
    </xdr:from>
    <xdr:to>
      <xdr:col>1</xdr:col>
      <xdr:colOff>442913</xdr:colOff>
      <xdr:row>346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E61B4DD-F57A-43AC-9F61-9E236E12946D}"/>
            </a:ext>
          </a:extLst>
        </xdr:cNvPr>
        <xdr:cNvSpPr txBox="1"/>
      </xdr:nvSpPr>
      <xdr:spPr>
        <a:xfrm rot="16200000">
          <a:off x="792958" y="56014144"/>
          <a:ext cx="1085850" cy="300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Exit EV/EBITDA</a:t>
          </a:r>
        </a:p>
      </xdr:txBody>
    </xdr:sp>
    <xdr:clientData/>
  </xdr:twoCellAnchor>
  <xdr:twoCellAnchor>
    <xdr:from>
      <xdr:col>1</xdr:col>
      <xdr:colOff>28578</xdr:colOff>
      <xdr:row>351</xdr:row>
      <xdr:rowOff>4762</xdr:rowOff>
    </xdr:from>
    <xdr:to>
      <xdr:col>1</xdr:col>
      <xdr:colOff>547690</xdr:colOff>
      <xdr:row>356</xdr:row>
      <xdr:rowOff>128586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5BF566-3A63-4260-926C-F39B058C1FE9}"/>
            </a:ext>
          </a:extLst>
        </xdr:cNvPr>
        <xdr:cNvSpPr txBox="1"/>
      </xdr:nvSpPr>
      <xdr:spPr>
        <a:xfrm rot="16200000">
          <a:off x="792960" y="57904856"/>
          <a:ext cx="1076324" cy="519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Debt/EBITDA (Term Loan 2)</a:t>
          </a:r>
        </a:p>
        <a:p>
          <a:endParaRPr lang="en-US" sz="1100"/>
        </a:p>
      </xdr:txBody>
    </xdr:sp>
    <xdr:clientData/>
  </xdr:twoCellAnchor>
  <xdr:twoCellAnchor>
    <xdr:from>
      <xdr:col>8</xdr:col>
      <xdr:colOff>142876</xdr:colOff>
      <xdr:row>340</xdr:row>
      <xdr:rowOff>95250</xdr:rowOff>
    </xdr:from>
    <xdr:to>
      <xdr:col>8</xdr:col>
      <xdr:colOff>442913</xdr:colOff>
      <xdr:row>346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ADBFCD-9FCB-426D-BE6D-3935DA9B77F3}"/>
            </a:ext>
          </a:extLst>
        </xdr:cNvPr>
        <xdr:cNvSpPr txBox="1"/>
      </xdr:nvSpPr>
      <xdr:spPr>
        <a:xfrm rot="16200000">
          <a:off x="792958" y="56014144"/>
          <a:ext cx="1085850" cy="300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Exit EV/EBITDA</a:t>
          </a:r>
        </a:p>
      </xdr:txBody>
    </xdr:sp>
    <xdr:clientData/>
  </xdr:twoCellAnchor>
  <xdr:twoCellAnchor>
    <xdr:from>
      <xdr:col>8</xdr:col>
      <xdr:colOff>100016</xdr:colOff>
      <xdr:row>350</xdr:row>
      <xdr:rowOff>4762</xdr:rowOff>
    </xdr:from>
    <xdr:to>
      <xdr:col>8</xdr:col>
      <xdr:colOff>619128</xdr:colOff>
      <xdr:row>355</xdr:row>
      <xdr:rowOff>128586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C1E36CC-897E-4A27-A80A-4766DC183328}"/>
            </a:ext>
          </a:extLst>
        </xdr:cNvPr>
        <xdr:cNvSpPr txBox="1"/>
      </xdr:nvSpPr>
      <xdr:spPr>
        <a:xfrm rot="16200000">
          <a:off x="8165310" y="57714356"/>
          <a:ext cx="1076324" cy="519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Debt/EBITDA (Term Loan 2)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showGridLines="0" zoomScaleNormal="100" workbookViewId="0"/>
  </sheetViews>
  <sheetFormatPr baseColWidth="10" defaultColWidth="9.1640625" defaultRowHeight="14"/>
  <cols>
    <col min="1" max="2" width="11" style="79" customWidth="1"/>
    <col min="3" max="3" width="29.1640625" style="79" customWidth="1"/>
    <col min="4" max="22" width="11" style="79" customWidth="1"/>
    <col min="23" max="25" width="9.1640625" style="79"/>
    <col min="26" max="26" width="9.1640625" style="79" customWidth="1"/>
    <col min="27" max="16384" width="9.1640625" style="79"/>
  </cols>
  <sheetData>
    <row r="1" spans="2:15" ht="19.5" customHeight="1"/>
    <row r="2" spans="2:15" ht="19.5" customHeight="1"/>
    <row r="3" spans="2:15" ht="19.5" customHeight="1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</row>
    <row r="4" spans="2:15" ht="19.5" customHeight="1"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</row>
    <row r="5" spans="2:15" ht="19.5" customHeight="1"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</row>
    <row r="6" spans="2:15" ht="19.5" customHeight="1"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</row>
    <row r="7" spans="2:15" ht="19.5" customHeight="1"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</row>
    <row r="8" spans="2:15" ht="19.5" customHeight="1"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</row>
    <row r="9" spans="2:15" ht="19.5" customHeight="1"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</row>
    <row r="10" spans="2:15" ht="19.5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</row>
    <row r="11" spans="2:15" ht="19.5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2:15" ht="28">
      <c r="B12" s="78"/>
      <c r="C12" s="84" t="str">
        <f>"LBO Model - "&amp;'Leveraged Buyout (LBO) Model'!D7</f>
        <v>LBO Model - Retail Co.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80" t="s">
        <v>95</v>
      </c>
      <c r="O12" s="78"/>
    </row>
    <row r="13" spans="2:15" ht="19.5" customHeight="1">
      <c r="B13" s="78"/>
      <c r="C13" s="85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2:15" ht="19.5" customHeight="1">
      <c r="B14" s="78"/>
      <c r="C14" s="86" t="s">
        <v>94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2:15" ht="19.5" customHeight="1">
      <c r="B15" s="78"/>
      <c r="C15" s="156" t="str">
        <f ca="1">RIGHT(CELL("filename",'Leveraged Buyout (LBO) Model'!A1),LEN(CELL("filename",'Leveraged Buyout (LBO) Model'!A1))-FIND("]",CELL("filename",'Leveraged Buyout (LBO) Model'!A1)))</f>
        <v>Leveraged Buyout (LBO) Model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15" ht="19.5" customHeight="1">
      <c r="B16" s="78"/>
      <c r="C16" s="87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 ht="19.5" customHeight="1">
      <c r="B17" s="78"/>
      <c r="C17" s="8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 ht="19.5" customHeight="1">
      <c r="B18" s="78"/>
      <c r="C18" s="87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 s="193" customFormat="1" ht="19.5" customHeight="1">
      <c r="B19" s="194"/>
      <c r="C19" s="194" t="s">
        <v>54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</row>
    <row r="20" spans="2:15" s="193" customFormat="1" ht="19.5" customHeight="1">
      <c r="B20" s="194"/>
      <c r="C20" s="195" t="s">
        <v>51</v>
      </c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4"/>
    </row>
    <row r="21" spans="2:15" s="193" customFormat="1" ht="19.5" customHeight="1">
      <c r="B21" s="194"/>
      <c r="C21" s="194" t="s">
        <v>52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</row>
    <row r="22" spans="2:15" s="193" customFormat="1" ht="19.5" customHeight="1">
      <c r="B22" s="194"/>
      <c r="C22" s="196" t="s">
        <v>53</v>
      </c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5" s="193" customFormat="1" ht="19.5" customHeight="1">
      <c r="B23" s="194"/>
      <c r="C23" s="196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</row>
    <row r="24" spans="2:15" s="193" customFormat="1" ht="19.5" customHeight="1">
      <c r="B24" s="194"/>
      <c r="C24" s="197" t="s">
        <v>248</v>
      </c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4"/>
    </row>
    <row r="25" spans="2:15" s="193" customFormat="1" ht="19.5" customHeight="1">
      <c r="B25" s="199"/>
      <c r="C25" s="200" t="s">
        <v>249</v>
      </c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199"/>
    </row>
    <row r="26" spans="2:15" s="193" customFormat="1" ht="19.5" customHeight="1">
      <c r="B26" s="199"/>
      <c r="C26" s="200" t="s">
        <v>250</v>
      </c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199"/>
    </row>
    <row r="27" spans="2:15" s="193" customFormat="1" ht="19.5" customHeight="1">
      <c r="B27" s="199"/>
      <c r="C27" s="200" t="s">
        <v>251</v>
      </c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199"/>
    </row>
    <row r="28" spans="2:15" s="193" customFormat="1" ht="19.5" customHeight="1">
      <c r="B28" s="199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199"/>
    </row>
    <row r="29" spans="2:15" s="193" customFormat="1" ht="19.5" customHeight="1"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Leveraged Buyout (LBO) Model'!A1" display="'Leveraged Buyout (LBO) Model'!A1" xr:uid="{00000000-0004-0000-0000-000001000000}"/>
    <hyperlink ref="C22" r:id="rId1" xr:uid="{E3B5C8D3-97C8-4773-8E6C-8FEC750583A1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3"/>
  <sheetViews>
    <sheetView showGridLines="0" tabSelected="1" zoomScaleNormal="100" workbookViewId="0">
      <pane ySplit="2" topLeftCell="A26" activePane="bottomLeft" state="frozen"/>
      <selection pane="bottomLeft" activeCell="H41" sqref="H41"/>
    </sheetView>
  </sheetViews>
  <sheetFormatPr baseColWidth="10" defaultColWidth="9.1640625" defaultRowHeight="16" outlineLevelRow="1"/>
  <cols>
    <col min="1" max="2" width="14.5" style="4" customWidth="1"/>
    <col min="3" max="3" width="14.5" style="8" customWidth="1"/>
    <col min="4" max="14" width="14.5" style="4" customWidth="1"/>
    <col min="15" max="16384" width="9.1640625" style="4"/>
  </cols>
  <sheetData>
    <row r="1" spans="1:14" ht="18" customHeight="1">
      <c r="A1" s="149" t="s">
        <v>5</v>
      </c>
      <c r="B1" s="1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</row>
    <row r="2" spans="1:14" ht="16.5" customHeight="1">
      <c r="A2" s="5" t="str">
        <f>"LBO Model for "&amp;D7</f>
        <v>LBO Model for Retail Co.</v>
      </c>
      <c r="B2" s="6"/>
      <c r="C2" s="7"/>
      <c r="D2" s="7"/>
      <c r="E2" s="7"/>
      <c r="F2" s="146" t="s">
        <v>197</v>
      </c>
      <c r="G2" s="148" t="s">
        <v>235</v>
      </c>
      <c r="H2" s="1"/>
      <c r="I2" s="146" t="s">
        <v>226</v>
      </c>
      <c r="J2" s="147">
        <f ca="1">L321</f>
        <v>0.26927512288093569</v>
      </c>
      <c r="K2" s="146"/>
      <c r="L2" s="146" t="s">
        <v>215</v>
      </c>
      <c r="M2" s="146" t="str">
        <f ca="1">IF(D30="OK",IF(D31="OK",IF(D32="OK",IF(D33="OK",IF(D34="OK","OK","ERROR"),"ERROR"),"ERROR"),"ERROR"),"ERROR")</f>
        <v>OK</v>
      </c>
      <c r="N2" s="146"/>
    </row>
    <row r="3" spans="1:14"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20">
      <c r="A4" s="10" t="s">
        <v>6</v>
      </c>
      <c r="B4" s="11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outlineLevel="1">
      <c r="D5" s="9"/>
      <c r="E5" s="9"/>
      <c r="F5" s="9"/>
      <c r="G5" s="9"/>
      <c r="H5" s="9"/>
      <c r="I5" s="9"/>
      <c r="J5" s="9"/>
      <c r="K5" s="9"/>
      <c r="L5" s="9"/>
      <c r="M5" s="9"/>
    </row>
    <row r="6" spans="1:14" outlineLevel="1">
      <c r="A6" s="62" t="s">
        <v>134</v>
      </c>
      <c r="B6" s="56"/>
      <c r="C6" s="57"/>
      <c r="D6" s="56"/>
      <c r="F6" s="62" t="s">
        <v>218</v>
      </c>
      <c r="G6" s="157"/>
      <c r="H6" s="160">
        <f>D11</f>
        <v>2018</v>
      </c>
      <c r="I6" s="160">
        <f>H6+1</f>
        <v>2019</v>
      </c>
      <c r="J6" s="160">
        <f t="shared" ref="J6:N6" si="0">I6+1</f>
        <v>2020</v>
      </c>
      <c r="K6" s="160">
        <f t="shared" si="0"/>
        <v>2021</v>
      </c>
      <c r="L6" s="160">
        <f t="shared" si="0"/>
        <v>2022</v>
      </c>
      <c r="M6" s="160">
        <f t="shared" si="0"/>
        <v>2023</v>
      </c>
      <c r="N6" s="160">
        <f t="shared" si="0"/>
        <v>2024</v>
      </c>
    </row>
    <row r="7" spans="1:14" outlineLevel="1">
      <c r="A7" s="4" t="s">
        <v>109</v>
      </c>
      <c r="D7" s="54" t="s">
        <v>232</v>
      </c>
      <c r="F7" s="55" t="s">
        <v>219</v>
      </c>
      <c r="G7" s="55">
        <f>MATCH(G2,H7:J7,0)</f>
        <v>1</v>
      </c>
      <c r="H7" s="169" t="str">
        <f>F8</f>
        <v>Base Case</v>
      </c>
      <c r="I7" s="169" t="str">
        <f>F18</f>
        <v>Upside Case</v>
      </c>
      <c r="J7" s="169" t="str">
        <f>F28</f>
        <v>Downside Case</v>
      </c>
      <c r="K7" s="55"/>
      <c r="L7" s="55"/>
      <c r="M7" s="55"/>
      <c r="N7" s="55"/>
    </row>
    <row r="8" spans="1:14" outlineLevel="1">
      <c r="A8" s="4" t="str">
        <f>D7&amp;" Share Price (if available)"</f>
        <v>Retail Co. Share Price (if available)</v>
      </c>
      <c r="C8" s="53"/>
      <c r="D8" s="89">
        <v>11</v>
      </c>
      <c r="F8" s="27" t="s">
        <v>235</v>
      </c>
    </row>
    <row r="9" spans="1:14" outlineLevel="1">
      <c r="C9" s="53"/>
      <c r="D9" s="89"/>
      <c r="F9" s="16" t="s">
        <v>110</v>
      </c>
      <c r="G9" s="77"/>
      <c r="H9" s="77">
        <v>0.03</v>
      </c>
      <c r="I9" s="77">
        <v>0.03</v>
      </c>
      <c r="J9" s="77">
        <v>0.03</v>
      </c>
      <c r="K9" s="77">
        <v>0.03</v>
      </c>
      <c r="L9" s="77">
        <v>0.03</v>
      </c>
      <c r="M9" s="77">
        <v>0.03</v>
      </c>
      <c r="N9" s="77">
        <v>0.03</v>
      </c>
    </row>
    <row r="10" spans="1:14" outlineLevel="1">
      <c r="A10" s="4" t="s">
        <v>83</v>
      </c>
      <c r="D10" s="50">
        <v>43190</v>
      </c>
      <c r="F10" s="4" t="s">
        <v>87</v>
      </c>
      <c r="H10" s="61">
        <v>0.38</v>
      </c>
      <c r="I10" s="61">
        <v>0.38</v>
      </c>
      <c r="J10" s="61">
        <v>0.375</v>
      </c>
      <c r="K10" s="61">
        <v>0.37</v>
      </c>
      <c r="L10" s="61">
        <v>0.36499999999999999</v>
      </c>
      <c r="M10" s="61">
        <v>0.36499999999999999</v>
      </c>
      <c r="N10" s="61">
        <v>0.36499999999999999</v>
      </c>
    </row>
    <row r="11" spans="1:14" outlineLevel="1">
      <c r="A11" s="4" t="s">
        <v>192</v>
      </c>
      <c r="D11" s="136">
        <v>2018</v>
      </c>
      <c r="F11" s="4" t="s">
        <v>111</v>
      </c>
      <c r="H11" s="61">
        <v>0.16</v>
      </c>
      <c r="I11" s="61">
        <v>0.16</v>
      </c>
      <c r="J11" s="61">
        <v>0.16</v>
      </c>
      <c r="K11" s="61">
        <v>0.16</v>
      </c>
      <c r="L11" s="61">
        <v>0.16</v>
      </c>
      <c r="M11" s="61">
        <v>0.16</v>
      </c>
      <c r="N11" s="61">
        <v>0.16</v>
      </c>
    </row>
    <row r="12" spans="1:14" outlineLevel="1">
      <c r="A12" s="4" t="s">
        <v>223</v>
      </c>
      <c r="D12" s="136">
        <v>12</v>
      </c>
      <c r="F12" s="58" t="s">
        <v>112</v>
      </c>
      <c r="H12" s="32">
        <v>7000</v>
      </c>
      <c r="I12" s="32">
        <v>7000</v>
      </c>
      <c r="J12" s="32">
        <v>7500</v>
      </c>
      <c r="K12" s="32">
        <v>8000</v>
      </c>
      <c r="L12" s="32">
        <v>8000</v>
      </c>
      <c r="M12" s="32">
        <v>8500</v>
      </c>
      <c r="N12" s="32">
        <v>8500</v>
      </c>
    </row>
    <row r="13" spans="1:14" outlineLevel="1">
      <c r="A13" s="4" t="s">
        <v>224</v>
      </c>
      <c r="D13" s="136">
        <v>31</v>
      </c>
      <c r="F13" s="4" t="s">
        <v>115</v>
      </c>
      <c r="H13" s="90">
        <v>10</v>
      </c>
      <c r="I13" s="90">
        <v>10</v>
      </c>
      <c r="J13" s="90">
        <v>10</v>
      </c>
      <c r="K13" s="90">
        <v>10</v>
      </c>
      <c r="L13" s="90">
        <v>10</v>
      </c>
      <c r="M13" s="90">
        <v>10</v>
      </c>
      <c r="N13" s="90">
        <v>10</v>
      </c>
    </row>
    <row r="14" spans="1:14" outlineLevel="1">
      <c r="A14" s="4" t="s">
        <v>57</v>
      </c>
      <c r="D14" s="54" t="s">
        <v>233</v>
      </c>
      <c r="F14" s="4" t="s">
        <v>114</v>
      </c>
      <c r="H14" s="90">
        <v>30</v>
      </c>
      <c r="I14" s="90">
        <v>30</v>
      </c>
      <c r="J14" s="90">
        <v>30</v>
      </c>
      <c r="K14" s="90">
        <v>30</v>
      </c>
      <c r="L14" s="90">
        <v>30</v>
      </c>
      <c r="M14" s="90">
        <v>30</v>
      </c>
      <c r="N14" s="90">
        <v>30</v>
      </c>
    </row>
    <row r="15" spans="1:14" outlineLevel="1">
      <c r="A15" s="4" t="s">
        <v>58</v>
      </c>
      <c r="D15" s="54" t="s">
        <v>234</v>
      </c>
      <c r="F15" s="19" t="s">
        <v>113</v>
      </c>
      <c r="H15" s="158">
        <v>80</v>
      </c>
      <c r="I15" s="158">
        <v>80</v>
      </c>
      <c r="J15" s="158">
        <v>80</v>
      </c>
      <c r="K15" s="158">
        <v>80</v>
      </c>
      <c r="L15" s="158">
        <v>80</v>
      </c>
      <c r="M15" s="158">
        <v>80</v>
      </c>
      <c r="N15" s="158">
        <v>80</v>
      </c>
    </row>
    <row r="16" spans="1:14" outlineLevel="1">
      <c r="A16" s="4" t="s">
        <v>220</v>
      </c>
      <c r="D16" s="32">
        <v>365</v>
      </c>
      <c r="F16" s="19" t="s">
        <v>221</v>
      </c>
      <c r="H16" s="159">
        <v>8.5000000000000006E-2</v>
      </c>
      <c r="I16" s="159">
        <v>8.5000000000000006E-2</v>
      </c>
      <c r="J16" s="159">
        <v>0.08</v>
      </c>
      <c r="K16" s="159">
        <v>0.08</v>
      </c>
      <c r="L16" s="159">
        <v>0.08</v>
      </c>
      <c r="M16" s="159">
        <v>7.4999999999999997E-2</v>
      </c>
      <c r="N16" s="159">
        <v>7.4999999999999997E-2</v>
      </c>
    </row>
    <row r="17" spans="1:14" outlineLevel="1">
      <c r="F17" s="4" t="s">
        <v>222</v>
      </c>
      <c r="H17" s="168">
        <v>0.2</v>
      </c>
      <c r="I17" s="168">
        <v>0.2</v>
      </c>
      <c r="J17" s="168">
        <v>0.2</v>
      </c>
      <c r="K17" s="168">
        <v>0.2</v>
      </c>
      <c r="L17" s="168">
        <v>0.2</v>
      </c>
      <c r="M17" s="168">
        <v>0.2</v>
      </c>
      <c r="N17" s="168">
        <v>0.2</v>
      </c>
    </row>
    <row r="18" spans="1:14" outlineLevel="1">
      <c r="A18" s="4" t="s">
        <v>135</v>
      </c>
      <c r="D18" s="32">
        <v>25000</v>
      </c>
      <c r="F18" s="27" t="s">
        <v>236</v>
      </c>
    </row>
    <row r="19" spans="1:14" outlineLevel="1">
      <c r="F19" s="16" t="s">
        <v>110</v>
      </c>
      <c r="G19" s="77"/>
      <c r="H19" s="77">
        <v>0.03</v>
      </c>
      <c r="I19" s="77">
        <v>0.04</v>
      </c>
      <c r="J19" s="77">
        <v>0.05</v>
      </c>
      <c r="K19" s="77">
        <v>0.05</v>
      </c>
      <c r="L19" s="77">
        <v>0.05</v>
      </c>
      <c r="M19" s="77">
        <v>0.04</v>
      </c>
      <c r="N19" s="77">
        <v>0.04</v>
      </c>
    </row>
    <row r="20" spans="1:14" outlineLevel="1">
      <c r="A20" s="4" t="str">
        <f>D7&amp;" Debt"</f>
        <v>Retail Co. Debt</v>
      </c>
      <c r="D20" s="13">
        <f>G142+G145</f>
        <v>16801.075268817203</v>
      </c>
      <c r="F20" s="4" t="s">
        <v>87</v>
      </c>
      <c r="H20" s="61">
        <v>0.38</v>
      </c>
      <c r="I20" s="61">
        <v>0.37</v>
      </c>
      <c r="J20" s="61">
        <v>0.36</v>
      </c>
      <c r="K20" s="61">
        <v>0.36</v>
      </c>
      <c r="L20" s="61">
        <v>0.36</v>
      </c>
      <c r="M20" s="61">
        <v>0.36</v>
      </c>
      <c r="N20" s="61">
        <v>0.36</v>
      </c>
    </row>
    <row r="21" spans="1:14" outlineLevel="1">
      <c r="A21" s="4" t="str">
        <f>D7&amp;" Target Cash"</f>
        <v>Retail Co. Target Cash</v>
      </c>
      <c r="D21" s="13">
        <f>G133</f>
        <v>57269.263877213911</v>
      </c>
      <c r="F21" s="4" t="s">
        <v>111</v>
      </c>
      <c r="H21" s="61">
        <v>0.16</v>
      </c>
      <c r="I21" s="61">
        <v>0.16</v>
      </c>
      <c r="J21" s="61">
        <v>0.16</v>
      </c>
      <c r="K21" s="61">
        <v>0.16</v>
      </c>
      <c r="L21" s="61">
        <v>0.16</v>
      </c>
      <c r="M21" s="61">
        <v>0.16</v>
      </c>
      <c r="N21" s="61">
        <v>0.16</v>
      </c>
    </row>
    <row r="22" spans="1:14" outlineLevel="1">
      <c r="A22" s="4" t="s">
        <v>80</v>
      </c>
      <c r="D22" s="32">
        <v>2000</v>
      </c>
      <c r="F22" s="58" t="s">
        <v>112</v>
      </c>
      <c r="H22" s="32">
        <v>7000</v>
      </c>
      <c r="I22" s="32">
        <v>7000</v>
      </c>
      <c r="J22" s="32">
        <v>7000</v>
      </c>
      <c r="K22" s="32">
        <v>7000</v>
      </c>
      <c r="L22" s="32">
        <v>7000</v>
      </c>
      <c r="M22" s="32">
        <v>7000</v>
      </c>
      <c r="N22" s="32">
        <v>7000</v>
      </c>
    </row>
    <row r="23" spans="1:14" outlineLevel="1">
      <c r="A23" s="4" t="s">
        <v>145</v>
      </c>
      <c r="D23" s="14">
        <v>10000</v>
      </c>
      <c r="F23" s="4" t="s">
        <v>115</v>
      </c>
      <c r="H23" s="90">
        <v>10</v>
      </c>
      <c r="I23" s="90">
        <v>10</v>
      </c>
      <c r="J23" s="90">
        <v>10</v>
      </c>
      <c r="K23" s="90">
        <v>10</v>
      </c>
      <c r="L23" s="90">
        <v>10</v>
      </c>
      <c r="M23" s="90">
        <v>10</v>
      </c>
      <c r="N23" s="90">
        <v>10</v>
      </c>
    </row>
    <row r="24" spans="1:14" outlineLevel="1">
      <c r="A24" s="4" t="s">
        <v>62</v>
      </c>
      <c r="D24" s="32">
        <v>2000</v>
      </c>
      <c r="F24" s="4" t="s">
        <v>114</v>
      </c>
      <c r="H24" s="90">
        <v>30</v>
      </c>
      <c r="I24" s="90">
        <v>30</v>
      </c>
      <c r="J24" s="90">
        <v>30</v>
      </c>
      <c r="K24" s="90">
        <v>30</v>
      </c>
      <c r="L24" s="90">
        <v>30</v>
      </c>
      <c r="M24" s="90">
        <v>30</v>
      </c>
      <c r="N24" s="90">
        <v>30</v>
      </c>
    </row>
    <row r="25" spans="1:14" outlineLevel="1">
      <c r="F25" s="19" t="s">
        <v>113</v>
      </c>
      <c r="H25" s="158">
        <v>80</v>
      </c>
      <c r="I25" s="158">
        <v>80</v>
      </c>
      <c r="J25" s="158">
        <v>80</v>
      </c>
      <c r="K25" s="158">
        <v>80</v>
      </c>
      <c r="L25" s="158">
        <v>80</v>
      </c>
      <c r="M25" s="158">
        <v>80</v>
      </c>
      <c r="N25" s="158">
        <v>80</v>
      </c>
    </row>
    <row r="26" spans="1:14" outlineLevel="1">
      <c r="A26" s="4" t="s">
        <v>49</v>
      </c>
      <c r="D26" s="61">
        <v>0.3</v>
      </c>
      <c r="F26" s="19" t="s">
        <v>221</v>
      </c>
      <c r="H26" s="159">
        <v>0.08</v>
      </c>
      <c r="I26" s="159">
        <v>0.08</v>
      </c>
      <c r="J26" s="159">
        <v>0.08</v>
      </c>
      <c r="K26" s="159">
        <v>0.08</v>
      </c>
      <c r="L26" s="159">
        <v>0.08</v>
      </c>
      <c r="M26" s="159">
        <v>0.08</v>
      </c>
      <c r="N26" s="159">
        <v>0.08</v>
      </c>
    </row>
    <row r="27" spans="1:14" outlineLevel="1">
      <c r="A27" s="4" t="str">
        <f>D7&amp;" FD Shares Outstanding (000s)"</f>
        <v>Retail Co. FD Shares Outstanding (000s)</v>
      </c>
      <c r="D27" s="32">
        <v>15000</v>
      </c>
      <c r="F27" s="4" t="s">
        <v>222</v>
      </c>
      <c r="H27" s="168">
        <v>0.2</v>
      </c>
      <c r="I27" s="168">
        <v>0.2</v>
      </c>
      <c r="J27" s="168">
        <v>0.2</v>
      </c>
      <c r="K27" s="168">
        <v>0.2</v>
      </c>
      <c r="L27" s="168">
        <v>0.2</v>
      </c>
      <c r="M27" s="168">
        <v>0.2</v>
      </c>
      <c r="N27" s="168">
        <v>0.2</v>
      </c>
    </row>
    <row r="28" spans="1:14" outlineLevel="1">
      <c r="D28" s="8"/>
      <c r="F28" s="27" t="s">
        <v>237</v>
      </c>
    </row>
    <row r="29" spans="1:14" outlineLevel="1">
      <c r="A29" s="62" t="s">
        <v>211</v>
      </c>
      <c r="B29" s="56"/>
      <c r="C29" s="57"/>
      <c r="D29" s="56"/>
      <c r="F29" s="16" t="s">
        <v>110</v>
      </c>
      <c r="G29" s="77"/>
      <c r="H29" s="77">
        <v>0.03</v>
      </c>
      <c r="I29" s="77">
        <v>2.5000000000000001E-2</v>
      </c>
      <c r="J29" s="77">
        <v>0.02</v>
      </c>
      <c r="K29" s="77">
        <v>0.01</v>
      </c>
      <c r="L29" s="77">
        <v>0</v>
      </c>
      <c r="M29" s="77">
        <v>0</v>
      </c>
      <c r="N29" s="77">
        <v>0</v>
      </c>
    </row>
    <row r="30" spans="1:14" outlineLevel="1">
      <c r="A30" s="4" t="s">
        <v>212</v>
      </c>
      <c r="D30" s="154" t="str">
        <f ca="1">IF(ABS(SUM(D153:N153))&gt;0.01,"ERROR","OK")</f>
        <v>OK</v>
      </c>
      <c r="F30" s="4" t="s">
        <v>87</v>
      </c>
      <c r="H30" s="61">
        <v>0.39</v>
      </c>
      <c r="I30" s="61">
        <v>0.4</v>
      </c>
      <c r="J30" s="61">
        <v>0.41</v>
      </c>
      <c r="K30" s="61">
        <v>0.41</v>
      </c>
      <c r="L30" s="61">
        <v>0.42</v>
      </c>
      <c r="M30" s="61">
        <v>0.42</v>
      </c>
      <c r="N30" s="61">
        <v>0.42</v>
      </c>
    </row>
    <row r="31" spans="1:14" outlineLevel="1">
      <c r="A31" s="4" t="s">
        <v>213</v>
      </c>
      <c r="C31" s="4"/>
      <c r="D31" s="53" t="str">
        <f ca="1">IF(ABS(SUM(D288,L288))&gt;0.01,"ERROR","OK")</f>
        <v>OK</v>
      </c>
      <c r="F31" s="4" t="s">
        <v>111</v>
      </c>
      <c r="H31" s="61">
        <v>0.16</v>
      </c>
      <c r="I31" s="61">
        <v>0.16</v>
      </c>
      <c r="J31" s="61">
        <v>0.16</v>
      </c>
      <c r="K31" s="61">
        <v>0.16</v>
      </c>
      <c r="L31" s="61">
        <v>0.16</v>
      </c>
      <c r="M31" s="61">
        <v>0.16</v>
      </c>
      <c r="N31" s="61">
        <v>0.16</v>
      </c>
    </row>
    <row r="32" spans="1:14" outlineLevel="1">
      <c r="A32" s="4" t="s">
        <v>225</v>
      </c>
      <c r="D32" s="53" t="str">
        <f>IF(G58&gt;1,"ERROR","OK")</f>
        <v>OK</v>
      </c>
      <c r="F32" s="58" t="s">
        <v>112</v>
      </c>
      <c r="H32" s="32">
        <v>7000</v>
      </c>
      <c r="I32" s="32">
        <v>7000</v>
      </c>
      <c r="J32" s="32">
        <v>7000</v>
      </c>
      <c r="K32" s="32">
        <v>7000</v>
      </c>
      <c r="L32" s="32">
        <v>7000</v>
      </c>
      <c r="M32" s="32">
        <v>7000</v>
      </c>
      <c r="N32" s="32">
        <v>7000</v>
      </c>
    </row>
    <row r="33" spans="1:14" outlineLevel="1">
      <c r="A33" s="4" t="s">
        <v>214</v>
      </c>
      <c r="D33" s="53" t="str">
        <f ca="1">IF(C69=H69,"OK","ERROR")</f>
        <v>OK</v>
      </c>
      <c r="F33" s="4" t="s">
        <v>115</v>
      </c>
      <c r="H33" s="90">
        <v>10</v>
      </c>
      <c r="I33" s="90">
        <v>10</v>
      </c>
      <c r="J33" s="90">
        <v>10</v>
      </c>
      <c r="K33" s="90">
        <v>10</v>
      </c>
      <c r="L33" s="90">
        <v>10</v>
      </c>
      <c r="M33" s="90">
        <v>10</v>
      </c>
      <c r="N33" s="90">
        <v>10</v>
      </c>
    </row>
    <row r="34" spans="1:14" outlineLevel="1">
      <c r="A34" s="4" t="s">
        <v>252</v>
      </c>
      <c r="D34" s="53" t="str">
        <f ca="1">C252</f>
        <v>OK</v>
      </c>
      <c r="F34" s="4" t="s">
        <v>114</v>
      </c>
      <c r="H34" s="90">
        <v>30</v>
      </c>
      <c r="I34" s="90">
        <v>30</v>
      </c>
      <c r="J34" s="90">
        <v>30</v>
      </c>
      <c r="K34" s="90">
        <v>30</v>
      </c>
      <c r="L34" s="90">
        <v>30</v>
      </c>
      <c r="M34" s="90">
        <v>30</v>
      </c>
      <c r="N34" s="90">
        <v>30</v>
      </c>
    </row>
    <row r="35" spans="1:14" outlineLevel="1">
      <c r="F35" s="19" t="s">
        <v>113</v>
      </c>
      <c r="H35" s="158">
        <v>80</v>
      </c>
      <c r="I35" s="158">
        <v>80</v>
      </c>
      <c r="J35" s="158">
        <v>80</v>
      </c>
      <c r="K35" s="158">
        <v>80</v>
      </c>
      <c r="L35" s="158">
        <v>80</v>
      </c>
      <c r="M35" s="158">
        <v>80</v>
      </c>
      <c r="N35" s="158">
        <v>80</v>
      </c>
    </row>
    <row r="36" spans="1:14" outlineLevel="1">
      <c r="A36" s="62" t="s">
        <v>59</v>
      </c>
      <c r="B36" s="56"/>
      <c r="C36" s="57"/>
      <c r="D36" s="56"/>
      <c r="F36" s="19" t="s">
        <v>221</v>
      </c>
      <c r="H36" s="159">
        <v>0.09</v>
      </c>
      <c r="I36" s="159">
        <v>0.09</v>
      </c>
      <c r="J36" s="159">
        <v>0.09</v>
      </c>
      <c r="K36" s="159">
        <v>0.1</v>
      </c>
      <c r="L36" s="159">
        <v>0.1</v>
      </c>
      <c r="M36" s="159">
        <v>0.1</v>
      </c>
      <c r="N36" s="159">
        <v>0.1</v>
      </c>
    </row>
    <row r="37" spans="1:14" outlineLevel="1">
      <c r="A37" s="4" t="s">
        <v>50</v>
      </c>
      <c r="D37" s="182">
        <f>IF(C47="OFF",D44*D18,D40-D21+D20)</f>
        <v>147031.81139160329</v>
      </c>
      <c r="F37" s="4" t="s">
        <v>222</v>
      </c>
      <c r="H37" s="168">
        <v>0.2</v>
      </c>
      <c r="I37" s="168">
        <v>0.2</v>
      </c>
      <c r="J37" s="168">
        <v>0.2</v>
      </c>
      <c r="K37" s="168">
        <v>0.2</v>
      </c>
      <c r="L37" s="168">
        <v>0.2</v>
      </c>
      <c r="M37" s="168">
        <v>0.2</v>
      </c>
      <c r="N37" s="168">
        <v>0.2</v>
      </c>
    </row>
    <row r="38" spans="1:14" outlineLevel="1">
      <c r="A38" s="4" t="s">
        <v>118</v>
      </c>
      <c r="D38" s="4">
        <f>-D20</f>
        <v>-16801.075268817203</v>
      </c>
      <c r="F38" s="15" t="s">
        <v>238</v>
      </c>
    </row>
    <row r="39" spans="1:14" outlineLevel="1">
      <c r="A39" s="4" t="s">
        <v>119</v>
      </c>
      <c r="D39" s="4">
        <f>D21</f>
        <v>57269.263877213911</v>
      </c>
      <c r="F39" s="16" t="s">
        <v>110</v>
      </c>
      <c r="G39" s="77"/>
      <c r="H39" s="161">
        <f>CHOOSE($G$7,H9,H19,H29)</f>
        <v>0.03</v>
      </c>
      <c r="I39" s="161">
        <f t="shared" ref="I39:N39" si="1">CHOOSE($G$7,I9,I19,I29)</f>
        <v>0.03</v>
      </c>
      <c r="J39" s="161">
        <f t="shared" si="1"/>
        <v>0.03</v>
      </c>
      <c r="K39" s="161">
        <f t="shared" si="1"/>
        <v>0.03</v>
      </c>
      <c r="L39" s="161">
        <f t="shared" si="1"/>
        <v>0.03</v>
      </c>
      <c r="M39" s="161">
        <f t="shared" si="1"/>
        <v>0.03</v>
      </c>
      <c r="N39" s="161">
        <f t="shared" si="1"/>
        <v>0.03</v>
      </c>
    </row>
    <row r="40" spans="1:14" outlineLevel="1">
      <c r="A40" s="17" t="s">
        <v>120</v>
      </c>
      <c r="B40" s="17"/>
      <c r="C40" s="18"/>
      <c r="D40" s="183">
        <f>IF(C47="OFF",SUM(D37:D39),D47*D27)</f>
        <v>187500</v>
      </c>
      <c r="F40" s="4" t="s">
        <v>87</v>
      </c>
      <c r="H40" s="162">
        <f t="shared" ref="H40:N40" si="2">CHOOSE($G$7,H10,H20,H30)</f>
        <v>0.38</v>
      </c>
      <c r="I40" s="162">
        <f t="shared" si="2"/>
        <v>0.38</v>
      </c>
      <c r="J40" s="162">
        <f t="shared" si="2"/>
        <v>0.375</v>
      </c>
      <c r="K40" s="162">
        <f t="shared" si="2"/>
        <v>0.37</v>
      </c>
      <c r="L40" s="162">
        <f t="shared" si="2"/>
        <v>0.36499999999999999</v>
      </c>
      <c r="M40" s="162">
        <f t="shared" si="2"/>
        <v>0.36499999999999999</v>
      </c>
      <c r="N40" s="162">
        <f t="shared" si="2"/>
        <v>0.36499999999999999</v>
      </c>
    </row>
    <row r="41" spans="1:14" outlineLevel="1">
      <c r="A41" s="41" t="s">
        <v>121</v>
      </c>
      <c r="B41" s="41"/>
      <c r="C41" s="67"/>
      <c r="D41" s="91">
        <f>D40/D27</f>
        <v>12.5</v>
      </c>
      <c r="F41" s="4" t="s">
        <v>111</v>
      </c>
      <c r="H41" s="162">
        <f>CHOOSE($G$7,H11,H21,H31)</f>
        <v>0.16</v>
      </c>
      <c r="I41" s="162">
        <f t="shared" ref="H41:N41" si="3">CHOOSE($G$7,I11,I21,I31)</f>
        <v>0.16</v>
      </c>
      <c r="J41" s="162">
        <f t="shared" si="3"/>
        <v>0.16</v>
      </c>
      <c r="K41" s="162">
        <f t="shared" si="3"/>
        <v>0.16</v>
      </c>
      <c r="L41" s="162">
        <f t="shared" si="3"/>
        <v>0.16</v>
      </c>
      <c r="M41" s="162">
        <f t="shared" si="3"/>
        <v>0.16</v>
      </c>
      <c r="N41" s="162">
        <f t="shared" si="3"/>
        <v>0.16</v>
      </c>
    </row>
    <row r="42" spans="1:14" outlineLevel="1">
      <c r="A42" s="41" t="s">
        <v>122</v>
      </c>
      <c r="B42" s="41"/>
      <c r="C42" s="67"/>
      <c r="D42" s="92">
        <f>D41/D8-1</f>
        <v>0.13636363636363646</v>
      </c>
      <c r="F42" s="58" t="s">
        <v>112</v>
      </c>
      <c r="H42" s="47">
        <f t="shared" ref="H42:N42" si="4">CHOOSE($G$7,H12,H22,H32)</f>
        <v>7000</v>
      </c>
      <c r="I42" s="47">
        <f t="shared" si="4"/>
        <v>7000</v>
      </c>
      <c r="J42" s="47">
        <f t="shared" si="4"/>
        <v>7500</v>
      </c>
      <c r="K42" s="47">
        <f t="shared" si="4"/>
        <v>8000</v>
      </c>
      <c r="L42" s="47">
        <f t="shared" si="4"/>
        <v>8000</v>
      </c>
      <c r="M42" s="47">
        <f t="shared" si="4"/>
        <v>8500</v>
      </c>
      <c r="N42" s="47">
        <f t="shared" si="4"/>
        <v>8500</v>
      </c>
    </row>
    <row r="43" spans="1:14" outlineLevel="1">
      <c r="F43" s="4" t="s">
        <v>115</v>
      </c>
      <c r="H43" s="163">
        <f t="shared" ref="H43:N43" si="5">CHOOSE($G$7,H13,H23,H33)</f>
        <v>10</v>
      </c>
      <c r="I43" s="163">
        <f t="shared" si="5"/>
        <v>10</v>
      </c>
      <c r="J43" s="163">
        <f t="shared" si="5"/>
        <v>10</v>
      </c>
      <c r="K43" s="163">
        <f t="shared" si="5"/>
        <v>10</v>
      </c>
      <c r="L43" s="163">
        <f t="shared" si="5"/>
        <v>10</v>
      </c>
      <c r="M43" s="163">
        <f t="shared" si="5"/>
        <v>10</v>
      </c>
      <c r="N43" s="163">
        <f t="shared" si="5"/>
        <v>10</v>
      </c>
    </row>
    <row r="44" spans="1:14" outlineLevel="1">
      <c r="A44" s="19" t="s">
        <v>229</v>
      </c>
      <c r="D44" s="180">
        <v>6</v>
      </c>
      <c r="F44" s="4" t="s">
        <v>114</v>
      </c>
      <c r="H44" s="163">
        <f t="shared" ref="H44:N44" si="6">CHOOSE($G$7,H14,H24,H34)</f>
        <v>30</v>
      </c>
      <c r="I44" s="163">
        <f t="shared" si="6"/>
        <v>30</v>
      </c>
      <c r="J44" s="163">
        <f t="shared" si="6"/>
        <v>30</v>
      </c>
      <c r="K44" s="163">
        <f t="shared" si="6"/>
        <v>30</v>
      </c>
      <c r="L44" s="163">
        <f t="shared" si="6"/>
        <v>30</v>
      </c>
      <c r="M44" s="163">
        <f t="shared" si="6"/>
        <v>30</v>
      </c>
      <c r="N44" s="163">
        <f t="shared" si="6"/>
        <v>30</v>
      </c>
    </row>
    <row r="45" spans="1:14" outlineLevel="1">
      <c r="A45" s="19" t="s">
        <v>117</v>
      </c>
      <c r="D45" s="180">
        <v>6</v>
      </c>
      <c r="F45" s="19" t="s">
        <v>113</v>
      </c>
      <c r="H45" s="164">
        <f t="shared" ref="H45:N45" si="7">CHOOSE($G$7,H15,H25,H35)</f>
        <v>80</v>
      </c>
      <c r="I45" s="164">
        <f t="shared" si="7"/>
        <v>80</v>
      </c>
      <c r="J45" s="164">
        <f t="shared" si="7"/>
        <v>80</v>
      </c>
      <c r="K45" s="164">
        <f t="shared" si="7"/>
        <v>80</v>
      </c>
      <c r="L45" s="164">
        <f t="shared" si="7"/>
        <v>80</v>
      </c>
      <c r="M45" s="164">
        <f t="shared" si="7"/>
        <v>80</v>
      </c>
      <c r="N45" s="164">
        <f t="shared" si="7"/>
        <v>80</v>
      </c>
    </row>
    <row r="46" spans="1:14" outlineLevel="1">
      <c r="D46" s="53"/>
      <c r="F46" s="19" t="s">
        <v>221</v>
      </c>
      <c r="H46" s="165">
        <f t="shared" ref="H46:N46" si="8">CHOOSE($G$7,H16,H26,H36)</f>
        <v>8.5000000000000006E-2</v>
      </c>
      <c r="I46" s="165">
        <f t="shared" si="8"/>
        <v>8.5000000000000006E-2</v>
      </c>
      <c r="J46" s="165">
        <f t="shared" si="8"/>
        <v>0.08</v>
      </c>
      <c r="K46" s="165">
        <f t="shared" si="8"/>
        <v>0.08</v>
      </c>
      <c r="L46" s="165">
        <f t="shared" si="8"/>
        <v>0.08</v>
      </c>
      <c r="M46" s="165">
        <f t="shared" si="8"/>
        <v>7.4999999999999997E-2</v>
      </c>
      <c r="N46" s="165">
        <f t="shared" si="8"/>
        <v>7.4999999999999997E-2</v>
      </c>
    </row>
    <row r="47" spans="1:14" outlineLevel="1">
      <c r="A47" s="19" t="s">
        <v>210</v>
      </c>
      <c r="C47" s="153" t="s">
        <v>257</v>
      </c>
      <c r="D47" s="181">
        <v>12.5</v>
      </c>
      <c r="F47" s="4" t="s">
        <v>222</v>
      </c>
      <c r="H47" s="166">
        <f t="shared" ref="H47:N47" si="9">CHOOSE($G$7,H17,H27,H37)</f>
        <v>0.2</v>
      </c>
      <c r="I47" s="166">
        <f t="shared" si="9"/>
        <v>0.2</v>
      </c>
      <c r="J47" s="166">
        <f t="shared" si="9"/>
        <v>0.2</v>
      </c>
      <c r="K47" s="166">
        <f t="shared" si="9"/>
        <v>0.2</v>
      </c>
      <c r="L47" s="166">
        <f t="shared" si="9"/>
        <v>0.2</v>
      </c>
      <c r="M47" s="166">
        <f t="shared" si="9"/>
        <v>0.2</v>
      </c>
      <c r="N47" s="166">
        <f t="shared" si="9"/>
        <v>0.2</v>
      </c>
    </row>
    <row r="48" spans="1:14" outlineLevel="1"/>
    <row r="49" spans="1:14" outlineLevel="1">
      <c r="A49" s="62" t="s">
        <v>55</v>
      </c>
      <c r="B49" s="56"/>
      <c r="C49" s="5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</row>
    <row r="50" spans="1:14" outlineLevel="1">
      <c r="A50" s="15"/>
      <c r="B50" s="59"/>
      <c r="C50" s="93"/>
      <c r="D50" s="59"/>
      <c r="E50" s="59"/>
      <c r="F50" s="113"/>
      <c r="G50" s="113"/>
      <c r="H50" s="94" t="s">
        <v>231</v>
      </c>
      <c r="I50" s="94"/>
      <c r="J50" s="94"/>
      <c r="K50" s="94"/>
      <c r="L50" s="94"/>
      <c r="M50" s="94"/>
      <c r="N50" s="94"/>
    </row>
    <row r="51" spans="1:14" outlineLevel="1">
      <c r="A51" s="15" t="s">
        <v>126</v>
      </c>
      <c r="B51" s="59" t="s">
        <v>129</v>
      </c>
      <c r="C51" s="93" t="s">
        <v>128</v>
      </c>
      <c r="D51" s="59" t="s">
        <v>127</v>
      </c>
      <c r="E51" s="51" t="s">
        <v>132</v>
      </c>
      <c r="F51" s="112" t="s">
        <v>131</v>
      </c>
      <c r="G51" s="112" t="s">
        <v>141</v>
      </c>
      <c r="H51" s="184">
        <v>1</v>
      </c>
      <c r="I51" s="185">
        <f>+H51+1</f>
        <v>2</v>
      </c>
      <c r="J51" s="185">
        <f t="shared" ref="J51:N51" si="10">+I51+1</f>
        <v>3</v>
      </c>
      <c r="K51" s="185">
        <f t="shared" si="10"/>
        <v>4</v>
      </c>
      <c r="L51" s="185">
        <f t="shared" si="10"/>
        <v>5</v>
      </c>
      <c r="M51" s="185">
        <f t="shared" si="10"/>
        <v>6</v>
      </c>
      <c r="N51" s="185">
        <f t="shared" si="10"/>
        <v>7</v>
      </c>
    </row>
    <row r="52" spans="1:14" outlineLevel="1">
      <c r="A52" s="49" t="s">
        <v>136</v>
      </c>
      <c r="B52" s="105"/>
      <c r="C52" s="186">
        <f>C63</f>
        <v>47269.263877213911</v>
      </c>
      <c r="D52" s="83">
        <f ca="1">C52/$C$58</f>
        <v>0.2247800539313197</v>
      </c>
      <c r="E52" s="77"/>
      <c r="F52" s="99"/>
      <c r="G52" s="100"/>
      <c r="H52" s="77"/>
      <c r="I52" s="77"/>
      <c r="J52" s="77"/>
      <c r="K52" s="77"/>
      <c r="L52" s="77"/>
      <c r="M52" s="77"/>
      <c r="N52" s="77"/>
    </row>
    <row r="53" spans="1:14" s="19" customFormat="1" outlineLevel="1">
      <c r="A53" s="29" t="s">
        <v>125</v>
      </c>
      <c r="B53" s="145">
        <v>0.25</v>
      </c>
      <c r="C53" s="20">
        <f>B53*$D$18</f>
        <v>6250</v>
      </c>
      <c r="D53" s="101">
        <f t="shared" ref="D53:D57" ca="1" si="11">C53/$C$58</f>
        <v>2.9720694206705565E-2</v>
      </c>
      <c r="E53" s="102">
        <v>1.4999999999999999E-2</v>
      </c>
      <c r="F53" s="103">
        <v>0.03</v>
      </c>
      <c r="G53" s="96" t="s">
        <v>239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</row>
    <row r="54" spans="1:14" outlineLevel="1">
      <c r="A54" s="32" t="s">
        <v>123</v>
      </c>
      <c r="B54" s="145">
        <v>2</v>
      </c>
      <c r="C54" s="20">
        <f t="shared" ref="C54:C56" si="12">B54*$D$18</f>
        <v>50000</v>
      </c>
      <c r="D54" s="60">
        <f t="shared" ca="1" si="11"/>
        <v>0.23776555365364452</v>
      </c>
      <c r="E54" s="61">
        <v>1.4999999999999999E-2</v>
      </c>
      <c r="F54" s="95">
        <v>0.05</v>
      </c>
      <c r="G54" s="103">
        <v>0.5</v>
      </c>
      <c r="H54" s="61">
        <v>0.1</v>
      </c>
      <c r="I54" s="61">
        <v>0.1</v>
      </c>
      <c r="J54" s="61">
        <v>0.1</v>
      </c>
      <c r="K54" s="61">
        <v>0.1</v>
      </c>
      <c r="L54" s="61">
        <v>0.6</v>
      </c>
      <c r="M54" s="61">
        <v>0</v>
      </c>
      <c r="N54" s="61">
        <v>0</v>
      </c>
    </row>
    <row r="55" spans="1:14" outlineLevel="1">
      <c r="A55" s="32" t="s">
        <v>124</v>
      </c>
      <c r="B55" s="145">
        <v>2</v>
      </c>
      <c r="C55" s="20">
        <f t="shared" si="12"/>
        <v>50000</v>
      </c>
      <c r="D55" s="60">
        <f t="shared" ca="1" si="11"/>
        <v>0.23776555365364452</v>
      </c>
      <c r="E55" s="61">
        <v>1.4999999999999999E-2</v>
      </c>
      <c r="F55" s="95">
        <v>7.0000000000000007E-2</v>
      </c>
      <c r="G55" s="103">
        <v>0.5</v>
      </c>
      <c r="H55" s="61">
        <v>0.1</v>
      </c>
      <c r="I55" s="61">
        <v>0.1</v>
      </c>
      <c r="J55" s="61">
        <v>0.1</v>
      </c>
      <c r="K55" s="61">
        <v>0.1</v>
      </c>
      <c r="L55" s="61">
        <v>0.1</v>
      </c>
      <c r="M55" s="61">
        <v>0.5</v>
      </c>
      <c r="N55" s="61">
        <v>0</v>
      </c>
    </row>
    <row r="56" spans="1:14" outlineLevel="1">
      <c r="A56" s="32" t="s">
        <v>196</v>
      </c>
      <c r="B56" s="145">
        <v>0.45</v>
      </c>
      <c r="C56" s="20">
        <f t="shared" si="12"/>
        <v>11250</v>
      </c>
      <c r="D56" s="60">
        <f t="shared" ca="1" si="11"/>
        <v>5.349724957207002E-2</v>
      </c>
      <c r="E56" s="61">
        <v>1.4999999999999999E-2</v>
      </c>
      <c r="F56" s="95">
        <v>0.12</v>
      </c>
      <c r="G56" s="95">
        <v>0</v>
      </c>
      <c r="H56" s="61">
        <v>0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1</v>
      </c>
    </row>
    <row r="57" spans="1:14" outlineLevel="1">
      <c r="A57" s="32" t="s">
        <v>133</v>
      </c>
      <c r="B57" s="55"/>
      <c r="C57" s="104">
        <f ca="1">H69-SUM(C52:C56)</f>
        <v>45521.92099658621</v>
      </c>
      <c r="D57" s="60">
        <f t="shared" ca="1" si="11"/>
        <v>0.21647089498261571</v>
      </c>
      <c r="E57" s="61">
        <v>5.0000000000000001E-3</v>
      </c>
      <c r="F57" s="96" t="s">
        <v>239</v>
      </c>
      <c r="G57" s="96" t="s">
        <v>239</v>
      </c>
      <c r="H57" s="102">
        <v>0</v>
      </c>
      <c r="I57" s="102">
        <v>0</v>
      </c>
      <c r="J57" s="102">
        <v>0</v>
      </c>
      <c r="K57" s="102">
        <v>0</v>
      </c>
      <c r="L57" s="102">
        <v>0</v>
      </c>
      <c r="M57" s="102">
        <v>0</v>
      </c>
      <c r="N57" s="102">
        <v>0</v>
      </c>
    </row>
    <row r="58" spans="1:14" outlineLevel="1">
      <c r="A58" s="17" t="s">
        <v>97</v>
      </c>
      <c r="B58" s="97">
        <f>SUM(B52:B57)</f>
        <v>4.7</v>
      </c>
      <c r="C58" s="18">
        <f ca="1">SUM(C52:C57)</f>
        <v>210291.18487380011</v>
      </c>
      <c r="D58" s="98">
        <f ca="1">SUM(D52:D57)</f>
        <v>1</v>
      </c>
      <c r="E58" s="17"/>
      <c r="F58" s="17"/>
      <c r="G58" s="98">
        <f>SUM(G52:G57)</f>
        <v>1</v>
      </c>
      <c r="H58" s="17"/>
      <c r="I58" s="17"/>
      <c r="J58" s="17"/>
      <c r="K58" s="17"/>
      <c r="L58" s="17"/>
      <c r="M58" s="17"/>
      <c r="N58" s="17"/>
    </row>
    <row r="59" spans="1:14" outlineLevel="1">
      <c r="B59" s="152"/>
      <c r="F59" s="22"/>
      <c r="G59" s="22"/>
      <c r="H59" s="22"/>
      <c r="J59" s="19"/>
      <c r="K59" s="22"/>
      <c r="L59" s="22"/>
      <c r="M59" s="120"/>
    </row>
    <row r="60" spans="1:14" outlineLevel="1">
      <c r="F60" s="22"/>
      <c r="G60" s="22"/>
      <c r="H60" s="22"/>
      <c r="J60" s="19"/>
      <c r="K60" s="22"/>
      <c r="L60" s="22"/>
      <c r="M60" s="22"/>
    </row>
    <row r="61" spans="1:14" outlineLevel="1">
      <c r="A61" s="62" t="s">
        <v>60</v>
      </c>
      <c r="B61" s="56"/>
      <c r="C61" s="57"/>
      <c r="D61" s="56"/>
      <c r="E61" s="62"/>
      <c r="F61" s="56"/>
      <c r="G61" s="57"/>
      <c r="H61" s="56"/>
    </row>
    <row r="62" spans="1:14" outlineLevel="1">
      <c r="A62" s="15" t="s">
        <v>61</v>
      </c>
      <c r="C62" s="4"/>
      <c r="F62" s="15" t="s">
        <v>99</v>
      </c>
    </row>
    <row r="63" spans="1:14" outlineLevel="1">
      <c r="A63" s="16" t="str">
        <f>$A$52</f>
        <v>Cash (target)</v>
      </c>
      <c r="B63" s="16"/>
      <c r="C63" s="82">
        <f>D21-D23</f>
        <v>47269.263877213911</v>
      </c>
      <c r="D63" s="33"/>
      <c r="E63" s="33"/>
      <c r="F63" s="82" t="s">
        <v>56</v>
      </c>
      <c r="G63" s="82"/>
      <c r="H63" s="82">
        <f>D40</f>
        <v>187500</v>
      </c>
    </row>
    <row r="64" spans="1:14" outlineLevel="1">
      <c r="A64" s="19" t="str">
        <f>$A$53</f>
        <v>Line of Credit</v>
      </c>
      <c r="C64" s="33">
        <f>C53</f>
        <v>6250</v>
      </c>
      <c r="D64" s="33"/>
      <c r="E64" s="33"/>
      <c r="F64" s="33" t="s">
        <v>100</v>
      </c>
      <c r="G64" s="33"/>
      <c r="H64" s="55"/>
    </row>
    <row r="65" spans="1:13" outlineLevel="1">
      <c r="A65" s="19" t="str">
        <f>$A$54</f>
        <v>Term Loan 1</v>
      </c>
      <c r="C65" s="33">
        <f t="shared" ref="C65:C67" si="13">C54</f>
        <v>50000</v>
      </c>
      <c r="D65" s="33"/>
      <c r="E65" s="33"/>
      <c r="F65" s="33" t="s">
        <v>101</v>
      </c>
      <c r="G65" s="33"/>
      <c r="H65" s="33">
        <f>D20</f>
        <v>16801.075268817203</v>
      </c>
    </row>
    <row r="66" spans="1:13" outlineLevel="1">
      <c r="A66" s="19" t="str">
        <f>$A$55</f>
        <v>Term Loan 2</v>
      </c>
      <c r="C66" s="33">
        <f t="shared" si="13"/>
        <v>50000</v>
      </c>
      <c r="D66" s="33"/>
      <c r="E66" s="33"/>
      <c r="F66" s="33" t="s">
        <v>102</v>
      </c>
      <c r="G66" s="33"/>
      <c r="H66" s="33">
        <f>SUMPRODUCT(E53:E56,C53:C56)</f>
        <v>1762.5</v>
      </c>
    </row>
    <row r="67" spans="1:13" outlineLevel="1">
      <c r="A67" s="19" t="str">
        <f>$A$56</f>
        <v>Sub Debt 1</v>
      </c>
      <c r="C67" s="33">
        <f t="shared" si="13"/>
        <v>11250</v>
      </c>
      <c r="D67" s="33"/>
      <c r="E67" s="33"/>
      <c r="F67" s="33" t="s">
        <v>103</v>
      </c>
      <c r="G67" s="33"/>
      <c r="H67" s="33">
        <f ca="1">E57*C57</f>
        <v>227.60960498293105</v>
      </c>
    </row>
    <row r="68" spans="1:13" outlineLevel="1">
      <c r="A68" s="19" t="str">
        <f>$A$57</f>
        <v>Sponsor Equity</v>
      </c>
      <c r="C68" s="33">
        <f ca="1">C57</f>
        <v>45521.92099658621</v>
      </c>
      <c r="D68" s="33"/>
      <c r="E68" s="33"/>
      <c r="F68" s="33" t="s">
        <v>62</v>
      </c>
      <c r="G68" s="33"/>
      <c r="H68" s="33">
        <f>D24+D22</f>
        <v>4000</v>
      </c>
    </row>
    <row r="69" spans="1:13" outlineLevel="1">
      <c r="A69" s="17" t="s">
        <v>63</v>
      </c>
      <c r="B69" s="17"/>
      <c r="C69" s="17">
        <f ca="1">SUM(C63:C68)</f>
        <v>210291.18487380011</v>
      </c>
      <c r="E69" s="19"/>
      <c r="F69" s="17" t="s">
        <v>104</v>
      </c>
      <c r="G69" s="17"/>
      <c r="H69" s="17">
        <f ca="1">SUM(H63:H68)</f>
        <v>210291.18487380011</v>
      </c>
    </row>
    <row r="70" spans="1:13" outlineLevel="1">
      <c r="F70" s="22"/>
      <c r="G70" s="22"/>
      <c r="H70" s="22"/>
      <c r="J70" s="19"/>
      <c r="K70" s="22"/>
      <c r="L70" s="22"/>
      <c r="M70" s="22"/>
    </row>
    <row r="71" spans="1:13" outlineLevel="1"/>
    <row r="72" spans="1:13" outlineLevel="1">
      <c r="A72" s="62" t="s">
        <v>64</v>
      </c>
      <c r="B72" s="62"/>
      <c r="C72" s="63"/>
      <c r="D72" s="62"/>
      <c r="E72" s="62"/>
      <c r="F72" s="62"/>
      <c r="G72" s="62"/>
      <c r="H72" s="62"/>
      <c r="I72" s="62"/>
      <c r="J72" s="62"/>
      <c r="K72" s="62"/>
      <c r="L72" s="62"/>
      <c r="M72" s="62"/>
    </row>
    <row r="73" spans="1:13" outlineLevel="1">
      <c r="A73" s="15" t="s">
        <v>65</v>
      </c>
      <c r="D73" s="59" t="s">
        <v>67</v>
      </c>
      <c r="E73" s="59" t="s">
        <v>68</v>
      </c>
      <c r="F73" s="59" t="s">
        <v>73</v>
      </c>
      <c r="I73" s="15" t="s">
        <v>74</v>
      </c>
    </row>
    <row r="74" spans="1:13" outlineLevel="1">
      <c r="A74" s="16" t="s">
        <v>15</v>
      </c>
      <c r="B74" s="16"/>
      <c r="C74" s="44"/>
      <c r="D74" s="16">
        <f>G133</f>
        <v>57269.263877213911</v>
      </c>
      <c r="E74" s="16">
        <f>D74</f>
        <v>57269.263877213911</v>
      </c>
      <c r="F74" s="16">
        <f>E74-D74</f>
        <v>0</v>
      </c>
      <c r="I74" s="16" t="s">
        <v>81</v>
      </c>
      <c r="J74" s="16"/>
      <c r="K74" s="16"/>
      <c r="L74" s="16"/>
      <c r="M74" s="16">
        <f>H63+H64</f>
        <v>187500</v>
      </c>
    </row>
    <row r="75" spans="1:13" outlineLevel="1">
      <c r="A75" s="19" t="s">
        <v>16</v>
      </c>
      <c r="B75" s="19"/>
      <c r="C75" s="20"/>
      <c r="D75" s="21">
        <f>G134</f>
        <v>3985.8030913978496</v>
      </c>
      <c r="E75" s="119">
        <v>3500</v>
      </c>
      <c r="F75" s="19">
        <f t="shared" ref="F75:F78" si="14">E75-D75</f>
        <v>-485.80309139784958</v>
      </c>
      <c r="I75" s="4" t="s">
        <v>75</v>
      </c>
      <c r="M75" s="47">
        <f>G139-G146</f>
        <v>69021.027990117131</v>
      </c>
    </row>
    <row r="76" spans="1:13" outlineLevel="1">
      <c r="A76" s="4" t="s">
        <v>17</v>
      </c>
      <c r="D76" s="4">
        <f>G135</f>
        <v>5897.6254480286743</v>
      </c>
      <c r="E76" s="32">
        <v>4800</v>
      </c>
      <c r="F76" s="19">
        <f t="shared" si="14"/>
        <v>-1097.6254480286743</v>
      </c>
      <c r="I76" s="16" t="s">
        <v>76</v>
      </c>
      <c r="J76" s="16"/>
      <c r="K76" s="16"/>
      <c r="L76" s="16"/>
      <c r="M76" s="16">
        <f>M74-M75</f>
        <v>118478.97200988287</v>
      </c>
    </row>
    <row r="77" spans="1:13" outlineLevel="1">
      <c r="A77" s="4" t="s">
        <v>116</v>
      </c>
      <c r="D77" s="13">
        <f>G137</f>
        <v>21618.223566308243</v>
      </c>
      <c r="E77" s="32">
        <v>32000</v>
      </c>
      <c r="F77" s="4">
        <f t="shared" si="14"/>
        <v>10381.776433691757</v>
      </c>
      <c r="I77" s="4" t="s">
        <v>82</v>
      </c>
      <c r="M77" s="32">
        <v>0</v>
      </c>
    </row>
    <row r="78" spans="1:13" outlineLevel="1">
      <c r="A78" s="4" t="s">
        <v>66</v>
      </c>
      <c r="D78" s="75"/>
      <c r="E78" s="4">
        <v>0</v>
      </c>
      <c r="F78" s="4">
        <f t="shared" si="14"/>
        <v>0</v>
      </c>
      <c r="I78" s="4" t="s">
        <v>77</v>
      </c>
      <c r="M78" s="4">
        <f>F79</f>
        <v>8798.3478942652328</v>
      </c>
    </row>
    <row r="79" spans="1:13" outlineLevel="1">
      <c r="A79" s="16" t="s">
        <v>147</v>
      </c>
      <c r="B79" s="16"/>
      <c r="C79" s="44"/>
      <c r="D79" s="16">
        <f>SUM(D74:D78)</f>
        <v>88770.915982948674</v>
      </c>
      <c r="E79" s="16">
        <f>SUM(E74:E78)</f>
        <v>97569.263877213903</v>
      </c>
      <c r="F79" s="16">
        <f>SUM(F74:F78)</f>
        <v>8798.3478942652328</v>
      </c>
      <c r="I79" s="16" t="s">
        <v>78</v>
      </c>
      <c r="J79" s="16"/>
      <c r="K79" s="16"/>
      <c r="L79" s="16"/>
      <c r="M79" s="16">
        <f>M76-M77-M78</f>
        <v>109680.62411561764</v>
      </c>
    </row>
    <row r="80" spans="1:13" outlineLevel="1">
      <c r="I80" s="17" t="s">
        <v>79</v>
      </c>
      <c r="J80" s="17"/>
      <c r="K80" s="17"/>
      <c r="L80" s="17"/>
      <c r="M80" s="17">
        <f>M79</f>
        <v>109680.62411561764</v>
      </c>
    </row>
    <row r="81" spans="1:14" outlineLevel="1">
      <c r="I81" s="22"/>
      <c r="J81" s="22"/>
      <c r="K81" s="22"/>
      <c r="L81" s="22"/>
      <c r="M81" s="22"/>
    </row>
    <row r="83" spans="1:14" ht="20">
      <c r="A83" s="10" t="s">
        <v>130</v>
      </c>
      <c r="B83" s="11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ht="17" outlineLevel="1">
      <c r="D84" s="106"/>
      <c r="E84" s="106"/>
      <c r="F84" s="106"/>
      <c r="G84" s="106" t="s">
        <v>154</v>
      </c>
      <c r="H84" s="107">
        <f>$D$11</f>
        <v>2018</v>
      </c>
      <c r="I84" s="107">
        <f>H84+1</f>
        <v>2019</v>
      </c>
      <c r="J84" s="107">
        <f t="shared" ref="J84:N84" si="15">I84+1</f>
        <v>2020</v>
      </c>
      <c r="K84" s="107">
        <f t="shared" si="15"/>
        <v>2021</v>
      </c>
      <c r="L84" s="107">
        <f t="shared" si="15"/>
        <v>2022</v>
      </c>
      <c r="M84" s="107">
        <f t="shared" si="15"/>
        <v>2023</v>
      </c>
      <c r="N84" s="107">
        <f t="shared" si="15"/>
        <v>2024</v>
      </c>
    </row>
    <row r="85" spans="1:14" outlineLevel="1">
      <c r="A85" s="16"/>
      <c r="B85" s="16"/>
      <c r="C85" s="44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</row>
    <row r="86" spans="1:14" outlineLevel="1">
      <c r="A86" s="19" t="s">
        <v>70</v>
      </c>
      <c r="B86" s="19"/>
      <c r="C86" s="20"/>
      <c r="D86" s="122"/>
      <c r="E86" s="122"/>
      <c r="F86" s="122"/>
      <c r="G86" s="19">
        <f>G224</f>
        <v>6250</v>
      </c>
      <c r="H86" s="19">
        <f t="shared" ref="H86:N86" ca="1" si="16">H224</f>
        <v>6006.6325729365781</v>
      </c>
      <c r="I86" s="19">
        <f t="shared" ca="1" si="16"/>
        <v>3721.4650283524606</v>
      </c>
      <c r="J86" s="19">
        <f t="shared" ca="1" si="16"/>
        <v>0</v>
      </c>
      <c r="K86" s="19">
        <f t="shared" ca="1" si="16"/>
        <v>1.8189894035458565E-11</v>
      </c>
      <c r="L86" s="19">
        <f t="shared" ca="1" si="16"/>
        <v>15588.206495236591</v>
      </c>
      <c r="M86" s="19">
        <f t="shared" ca="1" si="16"/>
        <v>19435.897483888646</v>
      </c>
      <c r="N86" s="19">
        <f t="shared" ca="1" si="16"/>
        <v>10306.125504080228</v>
      </c>
    </row>
    <row r="87" spans="1:14" outlineLevel="1">
      <c r="A87" s="19" t="s">
        <v>71</v>
      </c>
      <c r="B87" s="19"/>
      <c r="C87" s="20"/>
      <c r="D87" s="122"/>
      <c r="E87" s="122"/>
      <c r="F87" s="122"/>
      <c r="G87" s="19">
        <f>G256</f>
        <v>111250</v>
      </c>
      <c r="H87" s="19">
        <f t="shared" ref="H87:N87" ca="1" si="17">H256</f>
        <v>101250</v>
      </c>
      <c r="I87" s="19">
        <f t="shared" ca="1" si="17"/>
        <v>91250</v>
      </c>
      <c r="J87" s="19">
        <f t="shared" ca="1" si="17"/>
        <v>81114.514458303282</v>
      </c>
      <c r="K87" s="19">
        <f t="shared" ca="1" si="17"/>
        <v>66067.453100403232</v>
      </c>
      <c r="L87" s="19">
        <f t="shared" ca="1" si="17"/>
        <v>33658.726550201609</v>
      </c>
      <c r="M87" s="19">
        <f t="shared" ca="1" si="17"/>
        <v>11250</v>
      </c>
      <c r="N87" s="19">
        <f t="shared" ca="1" si="17"/>
        <v>0</v>
      </c>
    </row>
    <row r="88" spans="1:14" outlineLevel="1">
      <c r="A88" s="16" t="s">
        <v>96</v>
      </c>
      <c r="B88" s="16"/>
      <c r="C88" s="44"/>
      <c r="D88" s="108"/>
      <c r="E88" s="108"/>
      <c r="F88" s="108"/>
      <c r="G88" s="16">
        <f>SUM(G86:G87)</f>
        <v>117500</v>
      </c>
      <c r="H88" s="16">
        <f t="shared" ref="H88:N88" ca="1" si="18">SUM(H86:H87)</f>
        <v>107256.63257293658</v>
      </c>
      <c r="I88" s="16">
        <f t="shared" ca="1" si="18"/>
        <v>94971.465028352453</v>
      </c>
      <c r="J88" s="16">
        <f t="shared" ca="1" si="18"/>
        <v>81114.514458303282</v>
      </c>
      <c r="K88" s="16">
        <f t="shared" ca="1" si="18"/>
        <v>66067.453100403247</v>
      </c>
      <c r="L88" s="16">
        <f t="shared" ca="1" si="18"/>
        <v>49246.9330454382</v>
      </c>
      <c r="M88" s="16">
        <f t="shared" ca="1" si="18"/>
        <v>30685.897483888646</v>
      </c>
      <c r="N88" s="16">
        <f t="shared" ca="1" si="18"/>
        <v>10306.125504080228</v>
      </c>
    </row>
    <row r="89" spans="1:14" outlineLevel="1">
      <c r="A89" s="19"/>
      <c r="B89" s="19"/>
      <c r="C89" s="20"/>
      <c r="D89" s="122"/>
      <c r="E89" s="122"/>
      <c r="F89" s="122"/>
      <c r="G89" s="19"/>
      <c r="H89" s="19"/>
      <c r="I89" s="19"/>
      <c r="J89" s="19"/>
      <c r="K89" s="19"/>
      <c r="L89" s="19"/>
      <c r="M89" s="19"/>
      <c r="N89" s="19"/>
    </row>
    <row r="90" spans="1:14" outlineLevel="1">
      <c r="A90" s="19" t="s">
        <v>15</v>
      </c>
      <c r="B90" s="19"/>
      <c r="C90" s="20"/>
      <c r="D90" s="122"/>
      <c r="E90" s="122"/>
      <c r="F90" s="122"/>
      <c r="G90" s="19">
        <f ca="1">L268</f>
        <v>9999.9999999999854</v>
      </c>
      <c r="H90" s="19">
        <f ca="1">H133</f>
        <v>10000</v>
      </c>
      <c r="I90" s="19">
        <f t="shared" ref="I90:N90" ca="1" si="19">I133</f>
        <v>10000</v>
      </c>
      <c r="J90" s="19">
        <f t="shared" ca="1" si="19"/>
        <v>9999.9999999999854</v>
      </c>
      <c r="K90" s="19">
        <f t="shared" ca="1" si="19"/>
        <v>10000.000000000186</v>
      </c>
      <c r="L90" s="19">
        <f t="shared" ca="1" si="19"/>
        <v>9999.999999987318</v>
      </c>
      <c r="M90" s="19">
        <f t="shared" ca="1" si="19"/>
        <v>9999.9999998521962</v>
      </c>
      <c r="N90" s="19">
        <f t="shared" ca="1" si="19"/>
        <v>9999.9999969601195</v>
      </c>
    </row>
    <row r="91" spans="1:14" outlineLevel="1">
      <c r="A91" s="16" t="s">
        <v>155</v>
      </c>
      <c r="B91" s="16"/>
      <c r="C91" s="44"/>
      <c r="D91" s="108"/>
      <c r="E91" s="108"/>
      <c r="F91" s="108"/>
      <c r="G91" s="16">
        <f ca="1">G88-G90</f>
        <v>107500.00000000001</v>
      </c>
      <c r="H91" s="16">
        <f t="shared" ref="H91:N91" ca="1" si="20">H88-H90</f>
        <v>97256.632572936578</v>
      </c>
      <c r="I91" s="16">
        <f t="shared" ca="1" si="20"/>
        <v>84971.465028352453</v>
      </c>
      <c r="J91" s="16">
        <f t="shared" ca="1" si="20"/>
        <v>71114.514458303296</v>
      </c>
      <c r="K91" s="16">
        <f t="shared" ca="1" si="20"/>
        <v>56067.453100403058</v>
      </c>
      <c r="L91" s="16">
        <f t="shared" ca="1" si="20"/>
        <v>39246.933045450882</v>
      </c>
      <c r="M91" s="16">
        <f t="shared" ca="1" si="20"/>
        <v>20685.89748403645</v>
      </c>
      <c r="N91" s="16">
        <f t="shared" ca="1" si="20"/>
        <v>306.12550712010852</v>
      </c>
    </row>
    <row r="92" spans="1:14" outlineLevel="1">
      <c r="A92" s="19"/>
      <c r="B92" s="19"/>
      <c r="C92" s="20"/>
      <c r="D92" s="122"/>
      <c r="E92" s="122"/>
      <c r="F92" s="122"/>
      <c r="G92" s="19"/>
      <c r="H92" s="19"/>
      <c r="I92" s="19"/>
      <c r="J92" s="19"/>
      <c r="K92" s="19"/>
      <c r="L92" s="19"/>
      <c r="M92" s="19"/>
      <c r="N92" s="19"/>
    </row>
    <row r="93" spans="1:14" outlineLevel="1">
      <c r="A93" s="19" t="s">
        <v>48</v>
      </c>
      <c r="B93" s="19"/>
      <c r="C93" s="20"/>
      <c r="D93" s="122"/>
      <c r="E93" s="122"/>
      <c r="F93" s="122"/>
      <c r="G93" s="19"/>
      <c r="H93" s="19">
        <f ca="1">H258</f>
        <v>7233.849488594049</v>
      </c>
      <c r="I93" s="19">
        <f t="shared" ref="I93:N93" ca="1" si="21">I258</f>
        <v>6595.9214640193359</v>
      </c>
      <c r="J93" s="19">
        <f t="shared" ca="1" si="21"/>
        <v>5901.7574091743854</v>
      </c>
      <c r="K93" s="19">
        <f t="shared" ca="1" si="21"/>
        <v>5090.4590267611957</v>
      </c>
      <c r="L93" s="19">
        <f t="shared" ca="1" si="21"/>
        <v>4012.6521196977019</v>
      </c>
      <c r="M93" s="19">
        <f t="shared" ca="1" si="21"/>
        <v>2659.6669889439349</v>
      </c>
      <c r="N93" s="19">
        <f t="shared" ca="1" si="21"/>
        <v>1121.1303448195331</v>
      </c>
    </row>
    <row r="94" spans="1:14" outlineLevel="1">
      <c r="A94" s="19" t="s">
        <v>253</v>
      </c>
      <c r="B94" s="19"/>
      <c r="C94" s="20"/>
      <c r="D94" s="122"/>
      <c r="E94" s="122"/>
      <c r="F94" s="122"/>
      <c r="G94" s="19"/>
      <c r="H94" s="19">
        <f ca="1">-H172</f>
        <v>10243.367427063422</v>
      </c>
      <c r="I94" s="19">
        <f t="shared" ref="I94:N94" ca="1" si="22">-I172</f>
        <v>12285.167544584117</v>
      </c>
      <c r="J94" s="19">
        <f t="shared" ca="1" si="22"/>
        <v>13856.950570049194</v>
      </c>
      <c r="K94" s="19">
        <f t="shared" ca="1" si="22"/>
        <v>15047.061357900071</v>
      </c>
      <c r="L94" s="19">
        <f t="shared" ca="1" si="22"/>
        <v>32408.726550201514</v>
      </c>
      <c r="M94" s="19">
        <f t="shared" ca="1" si="22"/>
        <v>22408.72655020142</v>
      </c>
      <c r="N94" s="19">
        <f t="shared" ca="1" si="22"/>
        <v>20379.771982334154</v>
      </c>
    </row>
    <row r="95" spans="1:14" outlineLevel="1">
      <c r="A95" s="16" t="s">
        <v>205</v>
      </c>
      <c r="B95" s="16"/>
      <c r="C95" s="44"/>
      <c r="D95" s="108"/>
      <c r="E95" s="108"/>
      <c r="F95" s="108"/>
      <c r="G95" s="16"/>
      <c r="H95" s="16">
        <f ca="1">SUM(H93:H94)</f>
        <v>17477.216915657471</v>
      </c>
      <c r="I95" s="16">
        <f t="shared" ref="I95:N95" ca="1" si="23">SUM(I93:I94)</f>
        <v>18881.089008603452</v>
      </c>
      <c r="J95" s="16">
        <f t="shared" ca="1" si="23"/>
        <v>19758.707979223578</v>
      </c>
      <c r="K95" s="16">
        <f t="shared" ca="1" si="23"/>
        <v>20137.520384661268</v>
      </c>
      <c r="L95" s="16">
        <f t="shared" ca="1" si="23"/>
        <v>36421.378669899219</v>
      </c>
      <c r="M95" s="16">
        <f t="shared" ca="1" si="23"/>
        <v>25068.393539145356</v>
      </c>
      <c r="N95" s="16">
        <f t="shared" ca="1" si="23"/>
        <v>21500.902327153686</v>
      </c>
    </row>
    <row r="96" spans="1:14" outlineLevel="1">
      <c r="A96" s="19"/>
      <c r="B96" s="19"/>
      <c r="C96" s="20"/>
      <c r="D96" s="122"/>
      <c r="E96" s="122"/>
      <c r="F96" s="122"/>
      <c r="G96" s="19"/>
      <c r="H96" s="19"/>
      <c r="I96" s="19"/>
      <c r="J96" s="19"/>
      <c r="K96" s="19"/>
      <c r="L96" s="19"/>
      <c r="M96" s="19"/>
      <c r="N96" s="19"/>
    </row>
    <row r="97" spans="1:14" outlineLevel="1">
      <c r="A97" s="19" t="s">
        <v>2</v>
      </c>
      <c r="B97" s="19"/>
      <c r="C97" s="20"/>
      <c r="D97" s="122"/>
      <c r="E97" s="122"/>
      <c r="F97" s="122"/>
      <c r="G97" s="19"/>
      <c r="H97" s="19">
        <f>H122</f>
        <v>24369.470094086024</v>
      </c>
      <c r="I97" s="19">
        <f t="shared" ref="I97:N97" si="24">I122</f>
        <v>25386.72595430108</v>
      </c>
      <c r="J97" s="19">
        <f t="shared" si="24"/>
        <v>26354.804604309487</v>
      </c>
      <c r="K97" s="19">
        <f t="shared" si="24"/>
        <v>27454.912209692386</v>
      </c>
      <c r="L97" s="19">
        <f t="shared" si="24"/>
        <v>29089.309649154802</v>
      </c>
      <c r="M97" s="19">
        <f t="shared" si="24"/>
        <v>29788.937942036973</v>
      </c>
      <c r="N97" s="19">
        <f t="shared" si="24"/>
        <v>31102.35042972002</v>
      </c>
    </row>
    <row r="98" spans="1:14" outlineLevel="1">
      <c r="A98" s="19" t="s">
        <v>1</v>
      </c>
      <c r="B98" s="19"/>
      <c r="C98" s="20"/>
      <c r="D98" s="122"/>
      <c r="E98" s="122"/>
      <c r="F98" s="122"/>
      <c r="G98" s="19"/>
      <c r="H98" s="19">
        <f>H119</f>
        <v>30769.470094086024</v>
      </c>
      <c r="I98" s="19">
        <f t="shared" ref="I98:N98" si="25">I119</f>
        <v>31902.554196908608</v>
      </c>
      <c r="J98" s="19">
        <f t="shared" si="25"/>
        <v>33005.170288281261</v>
      </c>
      <c r="K98" s="19">
        <f t="shared" si="25"/>
        <v>34168.931046359052</v>
      </c>
      <c r="L98" s="19">
        <f t="shared" si="25"/>
        <v>35896.06279666206</v>
      </c>
      <c r="M98" s="19">
        <f t="shared" si="25"/>
        <v>36712.944680561923</v>
      </c>
      <c r="N98" s="19">
        <f t="shared" si="25"/>
        <v>38069.333020978775</v>
      </c>
    </row>
    <row r="99" spans="1:14" outlineLevel="1">
      <c r="A99" s="19" t="s">
        <v>206</v>
      </c>
      <c r="B99" s="19"/>
      <c r="C99" s="20"/>
      <c r="D99" s="122"/>
      <c r="E99" s="122"/>
      <c r="F99" s="122"/>
      <c r="G99" s="19"/>
      <c r="H99" s="19">
        <f>H98+H166</f>
        <v>23790.32888104839</v>
      </c>
      <c r="I99" s="19">
        <f t="shared" ref="I99:N99" si="26">I98+I166</f>
        <v>24714.038747479844</v>
      </c>
      <c r="J99" s="19">
        <f t="shared" si="26"/>
        <v>26036.538840835023</v>
      </c>
      <c r="K99" s="19">
        <f t="shared" si="26"/>
        <v>26991.240655489426</v>
      </c>
      <c r="L99" s="19">
        <f t="shared" si="26"/>
        <v>28503.041694066345</v>
      </c>
      <c r="M99" s="19">
        <f t="shared" si="26"/>
        <v>29574.058678367935</v>
      </c>
      <c r="N99" s="19">
        <f t="shared" si="26"/>
        <v>30716.280438718968</v>
      </c>
    </row>
    <row r="100" spans="1:14" outlineLevel="1">
      <c r="A100" s="19" t="s">
        <v>227</v>
      </c>
      <c r="B100" s="19"/>
      <c r="C100" s="20"/>
      <c r="D100" s="122"/>
      <c r="E100" s="122"/>
      <c r="F100" s="122"/>
      <c r="G100" s="19"/>
      <c r="H100" s="19">
        <f ca="1">H99-H125</f>
        <v>18649.6426994008</v>
      </c>
      <c r="I100" s="19">
        <f t="shared" ref="I100:N100" ca="1" si="27">I99-I125</f>
        <v>19076.79740039532</v>
      </c>
      <c r="J100" s="19">
        <f t="shared" ca="1" si="27"/>
        <v>19900.624682294492</v>
      </c>
      <c r="K100" s="19">
        <f t="shared" ca="1" si="27"/>
        <v>20281.90470061007</v>
      </c>
      <c r="L100" s="19">
        <f t="shared" ca="1" si="27"/>
        <v>20980.044435229218</v>
      </c>
      <c r="M100" s="19">
        <f t="shared" ca="1" si="27"/>
        <v>21435.277392440159</v>
      </c>
      <c r="N100" s="19">
        <f t="shared" ca="1" si="27"/>
        <v>21721.914413250539</v>
      </c>
    </row>
    <row r="101" spans="1:14" outlineLevel="1">
      <c r="A101" s="19"/>
      <c r="B101" s="19"/>
      <c r="C101" s="20"/>
      <c r="D101" s="122"/>
      <c r="E101" s="122"/>
      <c r="F101" s="122"/>
      <c r="G101" s="19"/>
      <c r="H101" s="19"/>
      <c r="I101" s="19"/>
      <c r="J101" s="19"/>
      <c r="K101" s="19"/>
      <c r="L101" s="19"/>
      <c r="M101" s="19"/>
      <c r="N101" s="19"/>
    </row>
    <row r="102" spans="1:14" outlineLevel="1">
      <c r="A102" s="4" t="s">
        <v>152</v>
      </c>
      <c r="B102" s="15"/>
      <c r="C102" s="26"/>
      <c r="D102" s="27"/>
      <c r="E102" s="27"/>
      <c r="F102" s="27"/>
      <c r="G102" s="19"/>
      <c r="H102" s="123">
        <f ca="1">H88/H98</f>
        <v>3.4858134457619925</v>
      </c>
      <c r="I102" s="123">
        <f t="shared" ref="I102:N102" ca="1" si="28">I88/I98</f>
        <v>2.9769235542135775</v>
      </c>
      <c r="J102" s="123">
        <f t="shared" ca="1" si="28"/>
        <v>2.4576305393916908</v>
      </c>
      <c r="K102" s="123">
        <f t="shared" ca="1" si="28"/>
        <v>1.9335534088194197</v>
      </c>
      <c r="L102" s="123">
        <f t="shared" ca="1" si="28"/>
        <v>1.3719313264076869</v>
      </c>
      <c r="M102" s="123">
        <f t="shared" ca="1" si="28"/>
        <v>0.8358331850219477</v>
      </c>
      <c r="N102" s="123">
        <f t="shared" ca="1" si="28"/>
        <v>0.27071988622445414</v>
      </c>
    </row>
    <row r="103" spans="1:14" outlineLevel="1">
      <c r="A103" s="4" t="s">
        <v>153</v>
      </c>
      <c r="D103" s="9"/>
      <c r="E103" s="9"/>
      <c r="F103" s="9"/>
      <c r="G103" s="19"/>
      <c r="H103" s="123">
        <f ca="1">H91/H98</f>
        <v>3.1608159736111143</v>
      </c>
      <c r="I103" s="123">
        <f t="shared" ref="I103:N103" ca="1" si="29">I91/I98</f>
        <v>2.6634690283383731</v>
      </c>
      <c r="J103" s="123">
        <f t="shared" ca="1" si="29"/>
        <v>2.1546477063186993</v>
      </c>
      <c r="K103" s="123">
        <f t="shared" ca="1" si="29"/>
        <v>1.6408898781273831</v>
      </c>
      <c r="L103" s="123">
        <f t="shared" ca="1" si="29"/>
        <v>1.0933492418867847</v>
      </c>
      <c r="M103" s="123">
        <f t="shared" ca="1" si="29"/>
        <v>0.56344969503328424</v>
      </c>
      <c r="N103" s="123">
        <f t="shared" ca="1" si="29"/>
        <v>8.0412626864624255E-3</v>
      </c>
    </row>
    <row r="104" spans="1:14" outlineLevel="1">
      <c r="A104" s="33" t="s">
        <v>156</v>
      </c>
      <c r="B104" s="28"/>
      <c r="C104" s="121"/>
      <c r="D104" s="28"/>
      <c r="E104" s="28"/>
      <c r="F104" s="28"/>
      <c r="G104" s="28"/>
      <c r="H104" s="123">
        <f ca="1">H97/H93</f>
        <v>3.3688107739192685</v>
      </c>
      <c r="I104" s="123">
        <f t="shared" ref="I104:N104" ca="1" si="30">I97/I93</f>
        <v>3.8488520660510188</v>
      </c>
      <c r="J104" s="123">
        <f t="shared" ca="1" si="30"/>
        <v>4.465585888593198</v>
      </c>
      <c r="K104" s="123">
        <f t="shared" ca="1" si="30"/>
        <v>5.3934059905714582</v>
      </c>
      <c r="L104" s="123">
        <f t="shared" ca="1" si="30"/>
        <v>7.2493973515317549</v>
      </c>
      <c r="M104" s="123">
        <f t="shared" ca="1" si="30"/>
        <v>11.200251033632284</v>
      </c>
      <c r="N104" s="123">
        <f t="shared" ca="1" si="30"/>
        <v>27.741957546182132</v>
      </c>
    </row>
    <row r="105" spans="1:14" outlineLevel="1">
      <c r="A105" s="33" t="s">
        <v>254</v>
      </c>
      <c r="B105" s="28"/>
      <c r="C105" s="121"/>
      <c r="D105" s="28"/>
      <c r="E105" s="28"/>
      <c r="F105" s="28"/>
      <c r="G105" s="28"/>
      <c r="H105" s="123">
        <f ca="1">H98/H95</f>
        <v>1.7605474740386327</v>
      </c>
      <c r="I105" s="123">
        <f t="shared" ref="I105:N105" ca="1" si="31">I98/I95</f>
        <v>1.6896564696226859</v>
      </c>
      <c r="J105" s="123">
        <f t="shared" ca="1" si="31"/>
        <v>1.6704113610559168</v>
      </c>
      <c r="K105" s="123">
        <f t="shared" ca="1" si="31"/>
        <v>1.6967794640886122</v>
      </c>
      <c r="L105" s="123">
        <f t="shared" ca="1" si="31"/>
        <v>0.98557671641158073</v>
      </c>
      <c r="M105" s="123">
        <f t="shared" ca="1" si="31"/>
        <v>1.4645112628869938</v>
      </c>
      <c r="N105" s="123">
        <f t="shared" ca="1" si="31"/>
        <v>1.7705923426711569</v>
      </c>
    </row>
    <row r="106" spans="1:14" outlineLevel="1">
      <c r="A106" s="33" t="s">
        <v>255</v>
      </c>
      <c r="B106" s="28"/>
      <c r="C106" s="121"/>
      <c r="D106" s="28"/>
      <c r="E106" s="28"/>
      <c r="F106" s="28"/>
      <c r="G106" s="28"/>
      <c r="H106" s="123">
        <f ca="1">H99/H95</f>
        <v>1.3612195234434112</v>
      </c>
      <c r="I106" s="123">
        <f t="shared" ref="I106:N106" ca="1" si="32">I99/I95</f>
        <v>1.3089307897557456</v>
      </c>
      <c r="J106" s="123">
        <f t="shared" ca="1" si="32"/>
        <v>1.3177247656179052</v>
      </c>
      <c r="K106" s="123">
        <f t="shared" ca="1" si="32"/>
        <v>1.3403457893479591</v>
      </c>
      <c r="L106" s="123">
        <f t="shared" ca="1" si="32"/>
        <v>0.78259095989748861</v>
      </c>
      <c r="M106" s="123">
        <f t="shared" ca="1" si="32"/>
        <v>1.1797348973394244</v>
      </c>
      <c r="N106" s="123">
        <f t="shared" ca="1" si="32"/>
        <v>1.4286042497819775</v>
      </c>
    </row>
    <row r="107" spans="1:14" outlineLevel="1">
      <c r="A107" s="33" t="s">
        <v>256</v>
      </c>
      <c r="B107" s="28"/>
      <c r="C107" s="121"/>
      <c r="D107" s="28"/>
      <c r="E107" s="28"/>
      <c r="F107" s="28"/>
      <c r="G107" s="28"/>
      <c r="H107" s="123">
        <f ca="1">H100/H95</f>
        <v>1.0670830939159985</v>
      </c>
      <c r="I107" s="123">
        <f t="shared" ref="I107:N107" ca="1" si="33">I100/I95</f>
        <v>1.0103653127053578</v>
      </c>
      <c r="J107" s="123">
        <f t="shared" ca="1" si="33"/>
        <v>1.0071824890180137</v>
      </c>
      <c r="K107" s="123">
        <f t="shared" ca="1" si="33"/>
        <v>1.0071699153217881</v>
      </c>
      <c r="L107" s="123">
        <f t="shared" ca="1" si="33"/>
        <v>0.57603652583773191</v>
      </c>
      <c r="M107" s="123">
        <f t="shared" ca="1" si="33"/>
        <v>0.85507184012282511</v>
      </c>
      <c r="N107" s="123">
        <f t="shared" ca="1" si="33"/>
        <v>1.0102792005067496</v>
      </c>
    </row>
    <row r="108" spans="1:14" outlineLevel="1">
      <c r="A108" s="33"/>
      <c r="B108" s="28"/>
      <c r="C108" s="121"/>
      <c r="D108" s="28"/>
      <c r="E108" s="28"/>
      <c r="F108" s="28"/>
      <c r="G108" s="28"/>
      <c r="H108" s="123"/>
      <c r="I108" s="123"/>
      <c r="J108" s="123"/>
      <c r="K108" s="123"/>
      <c r="L108" s="123"/>
      <c r="M108" s="123"/>
      <c r="N108" s="123"/>
    </row>
    <row r="109" spans="1:14">
      <c r="A109" s="33"/>
      <c r="B109" s="33"/>
      <c r="C109" s="104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</row>
    <row r="110" spans="1:14" ht="20">
      <c r="A110" s="10" t="s">
        <v>7</v>
      </c>
      <c r="B110" s="11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7" outlineLevel="1">
      <c r="D111" s="106">
        <f t="shared" ref="D111:F111" si="34">E111-1</f>
        <v>2014</v>
      </c>
      <c r="E111" s="106">
        <f t="shared" si="34"/>
        <v>2015</v>
      </c>
      <c r="F111" s="106">
        <f t="shared" si="34"/>
        <v>2016</v>
      </c>
      <c r="G111" s="106">
        <f>H111-1</f>
        <v>2017</v>
      </c>
      <c r="H111" s="107">
        <f>$D$11</f>
        <v>2018</v>
      </c>
      <c r="I111" s="107">
        <f>H111+1</f>
        <v>2019</v>
      </c>
      <c r="J111" s="107">
        <f t="shared" ref="J111:N111" si="35">I111+1</f>
        <v>2020</v>
      </c>
      <c r="K111" s="107">
        <f t="shared" si="35"/>
        <v>2021</v>
      </c>
      <c r="L111" s="107">
        <f t="shared" si="35"/>
        <v>2022</v>
      </c>
      <c r="M111" s="107">
        <f t="shared" si="35"/>
        <v>2023</v>
      </c>
      <c r="N111" s="107">
        <f t="shared" si="35"/>
        <v>2024</v>
      </c>
    </row>
    <row r="112" spans="1:14" outlineLevel="1">
      <c r="A112" s="16"/>
      <c r="B112" s="16"/>
      <c r="C112" s="44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</row>
    <row r="113" spans="1:14" outlineLevel="1">
      <c r="A113" s="15" t="s">
        <v>4</v>
      </c>
      <c r="B113" s="15"/>
      <c r="C113" s="26"/>
      <c r="D113" s="27">
        <v>57127.576164874547</v>
      </c>
      <c r="E113" s="27">
        <v>66132.392473118278</v>
      </c>
      <c r="F113" s="27">
        <v>73557.907706093189</v>
      </c>
      <c r="G113" s="27">
        <v>79716.06182795699</v>
      </c>
      <c r="H113" s="48">
        <f>G113*(1+H39)</f>
        <v>82107.543682795702</v>
      </c>
      <c r="I113" s="48">
        <f t="shared" ref="I113:N113" si="36">H113*(1+I39)</f>
        <v>84570.76999327958</v>
      </c>
      <c r="J113" s="48">
        <f t="shared" si="36"/>
        <v>87107.893093077975</v>
      </c>
      <c r="K113" s="48">
        <f t="shared" si="36"/>
        <v>89721.129885870323</v>
      </c>
      <c r="L113" s="48">
        <f t="shared" si="36"/>
        <v>92412.763782446433</v>
      </c>
      <c r="M113" s="48">
        <f t="shared" si="36"/>
        <v>95185.14669591983</v>
      </c>
      <c r="N113" s="48">
        <f t="shared" si="36"/>
        <v>98040.70109679742</v>
      </c>
    </row>
    <row r="114" spans="1:14" outlineLevel="1">
      <c r="A114" s="19" t="s">
        <v>8</v>
      </c>
      <c r="B114" s="19"/>
      <c r="C114" s="20"/>
      <c r="D114" s="29">
        <v>21854.278673835124</v>
      </c>
      <c r="E114" s="29">
        <v>26883.960573476703</v>
      </c>
      <c r="F114" s="29">
        <v>27510.640681003584</v>
      </c>
      <c r="G114" s="29">
        <v>29488.127240143367</v>
      </c>
      <c r="H114" s="45">
        <f>H113*H40</f>
        <v>31200.866599462366</v>
      </c>
      <c r="I114" s="45">
        <f t="shared" ref="I114:N114" si="37">I113*I40</f>
        <v>32136.89259744624</v>
      </c>
      <c r="J114" s="45">
        <f t="shared" si="37"/>
        <v>32665.459909904239</v>
      </c>
      <c r="K114" s="45">
        <f t="shared" si="37"/>
        <v>33196.81805777202</v>
      </c>
      <c r="L114" s="45">
        <f t="shared" si="37"/>
        <v>33730.658780592945</v>
      </c>
      <c r="M114" s="45">
        <f t="shared" si="37"/>
        <v>34742.578544010736</v>
      </c>
      <c r="N114" s="45">
        <f t="shared" si="37"/>
        <v>35784.855900331058</v>
      </c>
    </row>
    <row r="115" spans="1:14" outlineLevel="1">
      <c r="A115" s="17" t="s">
        <v>9</v>
      </c>
      <c r="B115" s="17"/>
      <c r="C115" s="18"/>
      <c r="D115" s="30">
        <f>D113-D114</f>
        <v>35273.297491039426</v>
      </c>
      <c r="E115" s="30">
        <f t="shared" ref="E115:H115" si="38">E113-E114</f>
        <v>39248.431899641575</v>
      </c>
      <c r="F115" s="30">
        <f t="shared" si="38"/>
        <v>46047.267025089604</v>
      </c>
      <c r="G115" s="30">
        <f t="shared" si="38"/>
        <v>50227.934587813623</v>
      </c>
      <c r="H115" s="30">
        <f t="shared" si="38"/>
        <v>50906.677083333336</v>
      </c>
      <c r="I115" s="30">
        <f t="shared" ref="I115" si="39">I113-I114</f>
        <v>52433.87739583334</v>
      </c>
      <c r="J115" s="30">
        <f t="shared" ref="J115" si="40">J113-J114</f>
        <v>54442.433183173736</v>
      </c>
      <c r="K115" s="30">
        <f t="shared" ref="K115" si="41">K113-K114</f>
        <v>56524.311828098304</v>
      </c>
      <c r="L115" s="30">
        <f t="shared" ref="L115" si="42">L113-L114</f>
        <v>58682.105001853488</v>
      </c>
      <c r="M115" s="30">
        <f t="shared" ref="M115" si="43">M113-M114</f>
        <v>60442.568151909094</v>
      </c>
      <c r="N115" s="30">
        <f t="shared" ref="N115" si="44">N113-N114</f>
        <v>62255.845196466362</v>
      </c>
    </row>
    <row r="116" spans="1:14" outlineLevel="1">
      <c r="A116" s="22"/>
      <c r="B116" s="22"/>
      <c r="C116" s="23"/>
      <c r="D116" s="31"/>
      <c r="E116" s="31"/>
      <c r="F116" s="31"/>
      <c r="G116" s="31"/>
      <c r="H116" s="109"/>
      <c r="I116" s="109"/>
      <c r="J116" s="109"/>
      <c r="K116" s="109"/>
      <c r="L116" s="109"/>
      <c r="M116" s="109"/>
      <c r="N116" s="109"/>
    </row>
    <row r="117" spans="1:14" outlineLevel="1">
      <c r="A117" s="19" t="s">
        <v>89</v>
      </c>
      <c r="D117" s="32">
        <v>14800.067204301075</v>
      </c>
      <c r="E117" s="32">
        <v>12689.292114695339</v>
      </c>
      <c r="F117" s="32">
        <v>13369.175627240144</v>
      </c>
      <c r="G117" s="32">
        <v>12881.944444444443</v>
      </c>
      <c r="H117" s="47">
        <f>H113*H41</f>
        <v>13137.206989247312</v>
      </c>
      <c r="I117" s="47">
        <f t="shared" ref="I117:N117" si="45">I113*I41</f>
        <v>13531.323198924732</v>
      </c>
      <c r="J117" s="47">
        <f t="shared" si="45"/>
        <v>13937.262894892476</v>
      </c>
      <c r="K117" s="47">
        <f t="shared" si="45"/>
        <v>14355.380781739252</v>
      </c>
      <c r="L117" s="47">
        <f t="shared" si="45"/>
        <v>14786.04220519143</v>
      </c>
      <c r="M117" s="47">
        <f t="shared" si="45"/>
        <v>15229.623471347173</v>
      </c>
      <c r="N117" s="47">
        <f t="shared" si="45"/>
        <v>15686.512175487587</v>
      </c>
    </row>
    <row r="118" spans="1:14" outlineLevel="1">
      <c r="A118" s="4" t="s">
        <v>88</v>
      </c>
      <c r="D118" s="32">
        <v>6139.6729390681003</v>
      </c>
      <c r="E118" s="32">
        <v>5670.3629032258059</v>
      </c>
      <c r="F118" s="32">
        <v>5649.0815412186375</v>
      </c>
      <c r="G118" s="32">
        <v>6171.5949820788528</v>
      </c>
      <c r="H118" s="47">
        <f>H42</f>
        <v>7000</v>
      </c>
      <c r="I118" s="47">
        <f t="shared" ref="I118:N118" si="46">I42</f>
        <v>7000</v>
      </c>
      <c r="J118" s="47">
        <f t="shared" si="46"/>
        <v>7500</v>
      </c>
      <c r="K118" s="47">
        <f t="shared" si="46"/>
        <v>8000</v>
      </c>
      <c r="L118" s="47">
        <f t="shared" si="46"/>
        <v>8000</v>
      </c>
      <c r="M118" s="47">
        <f t="shared" si="46"/>
        <v>8500</v>
      </c>
      <c r="N118" s="47">
        <f t="shared" si="46"/>
        <v>8500</v>
      </c>
    </row>
    <row r="119" spans="1:14" outlineLevel="1">
      <c r="A119" s="17" t="s">
        <v>1</v>
      </c>
      <c r="B119" s="16"/>
      <c r="C119" s="44"/>
      <c r="D119" s="30">
        <f>D115-SUM(D117:D118)</f>
        <v>14333.557347670252</v>
      </c>
      <c r="E119" s="30">
        <f t="shared" ref="E119:H119" si="47">E115-SUM(E117:E118)</f>
        <v>20888.776881720431</v>
      </c>
      <c r="F119" s="30">
        <f t="shared" si="47"/>
        <v>27029.009856630822</v>
      </c>
      <c r="G119" s="30">
        <f t="shared" si="47"/>
        <v>31174.395161290326</v>
      </c>
      <c r="H119" s="30">
        <f t="shared" si="47"/>
        <v>30769.470094086024</v>
      </c>
      <c r="I119" s="30">
        <f t="shared" ref="I119" si="48">I115-SUM(I117:I118)</f>
        <v>31902.554196908608</v>
      </c>
      <c r="J119" s="30">
        <f t="shared" ref="J119" si="49">J115-SUM(J117:J118)</f>
        <v>33005.170288281261</v>
      </c>
      <c r="K119" s="30">
        <f t="shared" ref="K119" si="50">K115-SUM(K117:K118)</f>
        <v>34168.931046359052</v>
      </c>
      <c r="L119" s="30">
        <f t="shared" ref="L119" si="51">L115-SUM(L117:L118)</f>
        <v>35896.06279666206</v>
      </c>
      <c r="M119" s="30">
        <f t="shared" ref="M119" si="52">M115-SUM(M117:M118)</f>
        <v>36712.944680561923</v>
      </c>
      <c r="N119" s="30">
        <f t="shared" ref="N119" si="53">N115-SUM(N117:N118)</f>
        <v>38069.333020978775</v>
      </c>
    </row>
    <row r="120" spans="1:14" outlineLevel="1">
      <c r="A120" s="22"/>
      <c r="B120" s="19"/>
      <c r="C120" s="20"/>
      <c r="D120" s="29"/>
      <c r="E120" s="29"/>
      <c r="F120" s="29"/>
      <c r="G120" s="29"/>
      <c r="H120" s="45"/>
      <c r="I120" s="45"/>
      <c r="J120" s="45"/>
      <c r="K120" s="45"/>
      <c r="L120" s="45"/>
      <c r="M120" s="45"/>
      <c r="N120" s="45"/>
    </row>
    <row r="121" spans="1:14" outlineLevel="1">
      <c r="A121" s="4" t="s">
        <v>10</v>
      </c>
      <c r="D121" s="32">
        <v>10920.698924731183</v>
      </c>
      <c r="E121" s="32">
        <v>10164.650537634408</v>
      </c>
      <c r="F121" s="32">
        <v>9635.4166666666661</v>
      </c>
      <c r="G121" s="32">
        <v>9264.9529569892475</v>
      </c>
      <c r="H121" s="47">
        <f>H197</f>
        <v>6400</v>
      </c>
      <c r="I121" s="47">
        <f t="shared" ref="I121:N121" si="54">I197</f>
        <v>6515.8282426075275</v>
      </c>
      <c r="J121" s="47">
        <f t="shared" si="54"/>
        <v>6650.3656839717733</v>
      </c>
      <c r="K121" s="47">
        <f t="shared" si="54"/>
        <v>6714.0188366666671</v>
      </c>
      <c r="L121" s="47">
        <f t="shared" si="54"/>
        <v>6806.7531475072583</v>
      </c>
      <c r="M121" s="47">
        <f t="shared" si="54"/>
        <v>6924.0067385249495</v>
      </c>
      <c r="N121" s="47">
        <f t="shared" si="54"/>
        <v>6966.9825912587567</v>
      </c>
    </row>
    <row r="122" spans="1:14" outlineLevel="1">
      <c r="A122" s="17" t="s">
        <v>2</v>
      </c>
      <c r="B122" s="16"/>
      <c r="C122" s="44"/>
      <c r="D122" s="30">
        <f>D119-D121</f>
        <v>3412.858422939069</v>
      </c>
      <c r="E122" s="30">
        <f t="shared" ref="E122:H122" si="55">E119-E121</f>
        <v>10724.126344086022</v>
      </c>
      <c r="F122" s="30">
        <f t="shared" si="55"/>
        <v>17393.593189964158</v>
      </c>
      <c r="G122" s="30">
        <f t="shared" si="55"/>
        <v>21909.442204301078</v>
      </c>
      <c r="H122" s="30">
        <f t="shared" si="55"/>
        <v>24369.470094086024</v>
      </c>
      <c r="I122" s="30">
        <f t="shared" ref="I122" si="56">I119-I121</f>
        <v>25386.72595430108</v>
      </c>
      <c r="J122" s="30">
        <f t="shared" ref="J122" si="57">J119-J121</f>
        <v>26354.804604309487</v>
      </c>
      <c r="K122" s="30">
        <f t="shared" ref="K122" si="58">K119-K121</f>
        <v>27454.912209692386</v>
      </c>
      <c r="L122" s="30">
        <f t="shared" ref="L122" si="59">L119-L121</f>
        <v>29089.309649154802</v>
      </c>
      <c r="M122" s="30">
        <f t="shared" ref="M122" si="60">M119-M121</f>
        <v>29788.937942036973</v>
      </c>
      <c r="N122" s="30">
        <f t="shared" ref="N122" si="61">N119-N121</f>
        <v>31102.35042972002</v>
      </c>
    </row>
    <row r="123" spans="1:14" outlineLevel="1">
      <c r="A123" s="22"/>
      <c r="B123" s="19"/>
      <c r="C123" s="20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spans="1:14" outlineLevel="1">
      <c r="A124" s="19" t="s">
        <v>11</v>
      </c>
      <c r="B124" s="19"/>
      <c r="C124" s="20"/>
      <c r="D124" s="29">
        <v>1400.089605734767</v>
      </c>
      <c r="E124" s="29">
        <v>1400.089605734767</v>
      </c>
      <c r="F124" s="29">
        <v>840.05376344086017</v>
      </c>
      <c r="G124" s="29">
        <v>840.05376344086017</v>
      </c>
      <c r="H124" s="45">
        <f ca="1">H258</f>
        <v>7233.849488594049</v>
      </c>
      <c r="I124" s="45">
        <f t="shared" ref="I124:N124" ca="1" si="62">I258</f>
        <v>6595.9214640193359</v>
      </c>
      <c r="J124" s="45">
        <f t="shared" ca="1" si="62"/>
        <v>5901.7574091743854</v>
      </c>
      <c r="K124" s="45">
        <f t="shared" ca="1" si="62"/>
        <v>5090.4590267611957</v>
      </c>
      <c r="L124" s="45">
        <f t="shared" ca="1" si="62"/>
        <v>4012.6521196977019</v>
      </c>
      <c r="M124" s="45">
        <f t="shared" ca="1" si="62"/>
        <v>2659.6669889439349</v>
      </c>
      <c r="N124" s="45">
        <f t="shared" ca="1" si="62"/>
        <v>1121.1303448195331</v>
      </c>
    </row>
    <row r="125" spans="1:14" outlineLevel="1">
      <c r="A125" s="19" t="s">
        <v>228</v>
      </c>
      <c r="B125" s="19"/>
      <c r="C125" s="20"/>
      <c r="D125" s="32">
        <v>892.17079999999999</v>
      </c>
      <c r="E125" s="32">
        <v>3858.2165021220299</v>
      </c>
      <c r="F125" s="32">
        <v>6482.8061148686802</v>
      </c>
      <c r="G125" s="32">
        <v>7908.0209764047004</v>
      </c>
      <c r="H125" s="47">
        <f ca="1">(H122-H124)*$D$26</f>
        <v>5140.6861816475921</v>
      </c>
      <c r="I125" s="47">
        <f t="shared" ref="I125:N125" ca="1" si="63">(I122-I124)*$D$26</f>
        <v>5637.2413470845231</v>
      </c>
      <c r="J125" s="47">
        <f t="shared" ca="1" si="63"/>
        <v>6135.9141585405305</v>
      </c>
      <c r="K125" s="47">
        <f t="shared" ca="1" si="63"/>
        <v>6709.3359548793569</v>
      </c>
      <c r="L125" s="47">
        <f t="shared" ca="1" si="63"/>
        <v>7522.9972588371302</v>
      </c>
      <c r="M125" s="47">
        <f t="shared" ca="1" si="63"/>
        <v>8138.7812859279111</v>
      </c>
      <c r="N125" s="47">
        <f t="shared" ca="1" si="63"/>
        <v>8994.3660254701463</v>
      </c>
    </row>
    <row r="126" spans="1:14" ht="17" outlineLevel="1" thickBot="1">
      <c r="A126" s="34" t="s">
        <v>12</v>
      </c>
      <c r="B126" s="34"/>
      <c r="C126" s="35"/>
      <c r="D126" s="36">
        <f>D122-SUM(D124:D125)</f>
        <v>1120.5980172043019</v>
      </c>
      <c r="E126" s="36">
        <f t="shared" ref="E126:H126" si="64">E122-SUM(E124:E125)</f>
        <v>5465.820236229225</v>
      </c>
      <c r="F126" s="36">
        <f t="shared" si="64"/>
        <v>10070.733311654618</v>
      </c>
      <c r="G126" s="36">
        <f t="shared" si="64"/>
        <v>13161.367464455518</v>
      </c>
      <c r="H126" s="36">
        <f t="shared" ca="1" si="64"/>
        <v>11994.934423844383</v>
      </c>
      <c r="I126" s="36">
        <f t="shared" ref="I126" ca="1" si="65">I122-SUM(I124:I125)</f>
        <v>13153.563143197222</v>
      </c>
      <c r="J126" s="36">
        <f t="shared" ref="J126" ca="1" si="66">J122-SUM(J124:J125)</f>
        <v>14317.133036594572</v>
      </c>
      <c r="K126" s="36">
        <f t="shared" ref="K126" ca="1" si="67">K122-SUM(K124:K125)</f>
        <v>15655.117228051833</v>
      </c>
      <c r="L126" s="36">
        <f t="shared" ref="L126" ca="1" si="68">L122-SUM(L124:L125)</f>
        <v>17553.66027061997</v>
      </c>
      <c r="M126" s="36">
        <f t="shared" ref="M126" ca="1" si="69">M122-SUM(M124:M125)</f>
        <v>18990.48966716513</v>
      </c>
      <c r="N126" s="36">
        <f t="shared" ref="N126" ca="1" si="70">N122-SUM(N124:N125)</f>
        <v>20986.854059430341</v>
      </c>
    </row>
    <row r="127" spans="1:14" ht="17" outlineLevel="1" collapsed="1" thickTop="1">
      <c r="D127" s="32"/>
      <c r="E127" s="32"/>
      <c r="F127" s="32"/>
      <c r="G127" s="32"/>
      <c r="H127" s="47"/>
      <c r="I127" s="47"/>
      <c r="J127" s="47"/>
      <c r="K127" s="47"/>
      <c r="L127" s="47"/>
      <c r="M127" s="47"/>
    </row>
    <row r="129" spans="1:14" ht="20">
      <c r="A129" s="10" t="s">
        <v>13</v>
      </c>
      <c r="B129" s="11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7" outlineLevel="1">
      <c r="D130" s="106">
        <f t="shared" ref="D130:F130" si="71">E130-1</f>
        <v>2014</v>
      </c>
      <c r="E130" s="106">
        <f t="shared" si="71"/>
        <v>2015</v>
      </c>
      <c r="F130" s="106">
        <f t="shared" si="71"/>
        <v>2016</v>
      </c>
      <c r="G130" s="106">
        <f>H130-1</f>
        <v>2017</v>
      </c>
      <c r="H130" s="107">
        <f>$D$11</f>
        <v>2018</v>
      </c>
      <c r="I130" s="107">
        <f>H130+1</f>
        <v>2019</v>
      </c>
      <c r="J130" s="107">
        <f t="shared" ref="J130:N130" si="72">I130+1</f>
        <v>2020</v>
      </c>
      <c r="K130" s="107">
        <f t="shared" si="72"/>
        <v>2021</v>
      </c>
      <c r="L130" s="107">
        <f t="shared" si="72"/>
        <v>2022</v>
      </c>
      <c r="M130" s="107">
        <f t="shared" si="72"/>
        <v>2023</v>
      </c>
      <c r="N130" s="107">
        <f t="shared" si="72"/>
        <v>2024</v>
      </c>
    </row>
    <row r="131" spans="1:14" outlineLevel="1">
      <c r="A131" s="16"/>
      <c r="B131" s="16"/>
      <c r="C131" s="44"/>
      <c r="D131" s="49"/>
      <c r="E131" s="49"/>
      <c r="F131" s="49"/>
      <c r="G131" s="49"/>
      <c r="H131" s="49"/>
      <c r="I131" s="16"/>
      <c r="J131" s="16"/>
      <c r="K131" s="16"/>
      <c r="L131" s="16"/>
      <c r="M131" s="16"/>
      <c r="N131" s="16"/>
    </row>
    <row r="132" spans="1:14" outlineLevel="1">
      <c r="A132" s="15" t="s">
        <v>14</v>
      </c>
      <c r="D132" s="32"/>
      <c r="E132" s="32"/>
      <c r="F132" s="32"/>
      <c r="G132" s="32"/>
      <c r="H132" s="32"/>
    </row>
    <row r="133" spans="1:14" outlineLevel="1">
      <c r="A133" s="4" t="s">
        <v>15</v>
      </c>
      <c r="C133" s="37"/>
      <c r="D133" s="13">
        <f>D180</f>
        <v>37801.461592473119</v>
      </c>
      <c r="E133" s="13">
        <f t="shared" ref="E133:G133" si="73">E180</f>
        <v>44078.185726551805</v>
      </c>
      <c r="F133" s="13">
        <f t="shared" si="73"/>
        <v>43749.137452184921</v>
      </c>
      <c r="G133" s="13">
        <f t="shared" si="73"/>
        <v>57269.263877213911</v>
      </c>
      <c r="H133" s="47">
        <f ca="1">H180</f>
        <v>10000</v>
      </c>
      <c r="I133" s="47">
        <f ca="1">I180</f>
        <v>10000</v>
      </c>
      <c r="J133" s="47">
        <f t="shared" ref="J133:N133" ca="1" si="74">J180</f>
        <v>10000</v>
      </c>
      <c r="K133" s="47">
        <f t="shared" ca="1" si="74"/>
        <v>10000.000000000164</v>
      </c>
      <c r="L133" s="47">
        <f t="shared" ca="1" si="74"/>
        <v>10000.000000000317</v>
      </c>
      <c r="M133" s="47">
        <f t="shared" ca="1" si="74"/>
        <v>10000.000000043045</v>
      </c>
      <c r="N133" s="47">
        <f t="shared" ca="1" si="74"/>
        <v>10000.00000179201</v>
      </c>
    </row>
    <row r="134" spans="1:14" outlineLevel="1">
      <c r="A134" s="4" t="s">
        <v>16</v>
      </c>
      <c r="C134" s="37"/>
      <c r="D134" s="32">
        <v>2856.3788082437277</v>
      </c>
      <c r="E134" s="32">
        <v>3306.619623655914</v>
      </c>
      <c r="F134" s="32">
        <v>3677.8953853046592</v>
      </c>
      <c r="G134" s="32">
        <v>3985.8030913978496</v>
      </c>
      <c r="H134" s="167">
        <f>H113*H43/$D$16</f>
        <v>2249.5217447341288</v>
      </c>
      <c r="I134" s="167">
        <f>I113*I43/$D$16</f>
        <v>2317.0073970761528</v>
      </c>
      <c r="J134" s="167">
        <f t="shared" ref="J134:N134" si="75">J113*J43/$D$16</f>
        <v>2386.5176189884378</v>
      </c>
      <c r="K134" s="167">
        <f t="shared" si="75"/>
        <v>2458.113147558091</v>
      </c>
      <c r="L134" s="167">
        <f t="shared" si="75"/>
        <v>2531.8565419848337</v>
      </c>
      <c r="M134" s="167">
        <f t="shared" si="75"/>
        <v>2607.8122382443789</v>
      </c>
      <c r="N134" s="167">
        <f t="shared" si="75"/>
        <v>2686.0466053917103</v>
      </c>
    </row>
    <row r="135" spans="1:14" outlineLevel="1">
      <c r="A135" s="4" t="s">
        <v>17</v>
      </c>
      <c r="C135" s="37"/>
      <c r="D135" s="32">
        <v>4370.8557347670248</v>
      </c>
      <c r="E135" s="32">
        <v>5376.7921146953413</v>
      </c>
      <c r="F135" s="32">
        <v>5502.1281362007167</v>
      </c>
      <c r="G135" s="32">
        <v>5897.6254480286743</v>
      </c>
      <c r="H135" s="167">
        <f>H114*H45/$D$16</f>
        <v>6838.5461039917518</v>
      </c>
      <c r="I135" s="167">
        <f>I114*I45/$D$16</f>
        <v>7043.7024871115045</v>
      </c>
      <c r="J135" s="167">
        <f t="shared" ref="J135:N135" si="76">J114*J45/$D$16</f>
        <v>7159.5528569653115</v>
      </c>
      <c r="K135" s="167">
        <f t="shared" si="76"/>
        <v>7276.0149167719492</v>
      </c>
      <c r="L135" s="167">
        <f t="shared" si="76"/>
        <v>7393.0211025957142</v>
      </c>
      <c r="M135" s="167">
        <f t="shared" si="76"/>
        <v>7614.8117356735856</v>
      </c>
      <c r="N135" s="167">
        <f t="shared" si="76"/>
        <v>7843.2560877437936</v>
      </c>
    </row>
    <row r="136" spans="1:14" outlineLevel="1">
      <c r="A136" s="17" t="s">
        <v>69</v>
      </c>
      <c r="B136" s="16"/>
      <c r="C136" s="64"/>
      <c r="D136" s="30">
        <f>SUM(D133:D135)</f>
        <v>45028.696135483871</v>
      </c>
      <c r="E136" s="30">
        <f t="shared" ref="E136:I136" si="77">SUM(E133:E135)</f>
        <v>52761.597464903054</v>
      </c>
      <c r="F136" s="30">
        <f t="shared" si="77"/>
        <v>52929.160973690297</v>
      </c>
      <c r="G136" s="30">
        <f t="shared" si="77"/>
        <v>67152.692416640435</v>
      </c>
      <c r="H136" s="30">
        <f t="shared" ca="1" si="77"/>
        <v>19088.067848725881</v>
      </c>
      <c r="I136" s="30">
        <f t="shared" ca="1" si="77"/>
        <v>19360.709884187658</v>
      </c>
      <c r="J136" s="30">
        <f t="shared" ref="J136" ca="1" si="78">SUM(J133:J135)</f>
        <v>19546.070475953748</v>
      </c>
      <c r="K136" s="30">
        <f t="shared" ref="K136" ca="1" si="79">SUM(K133:K135)</f>
        <v>19734.128064330205</v>
      </c>
      <c r="L136" s="30">
        <f t="shared" ref="L136" ca="1" si="80">SUM(L133:L135)</f>
        <v>19924.877644580865</v>
      </c>
      <c r="M136" s="30">
        <f t="shared" ref="M136" ca="1" si="81">SUM(M133:M135)</f>
        <v>20222.62397396101</v>
      </c>
      <c r="N136" s="30">
        <f t="shared" ref="N136" ca="1" si="82">SUM(N133:N135)</f>
        <v>20529.302694927515</v>
      </c>
    </row>
    <row r="137" spans="1:14" outlineLevel="1">
      <c r="A137" s="4" t="s">
        <v>18</v>
      </c>
      <c r="D137" s="32">
        <v>25481.630824372758</v>
      </c>
      <c r="E137" s="32">
        <v>23717.517921146951</v>
      </c>
      <c r="F137" s="32">
        <v>22482.638888888887</v>
      </c>
      <c r="G137" s="32">
        <v>21618.223566308243</v>
      </c>
      <c r="H137" s="4">
        <f>H198</f>
        <v>32579.141213037634</v>
      </c>
      <c r="I137" s="4">
        <f>I198</f>
        <v>33251.828419858866</v>
      </c>
      <c r="J137" s="4">
        <f t="shared" ref="J137:N137" si="83">J198</f>
        <v>33570.094183333335</v>
      </c>
      <c r="K137" s="4">
        <f t="shared" si="83"/>
        <v>34033.765737536291</v>
      </c>
      <c r="L137" s="4">
        <f t="shared" si="83"/>
        <v>34620.033692624747</v>
      </c>
      <c r="M137" s="4">
        <f t="shared" si="83"/>
        <v>34834.912956293781</v>
      </c>
      <c r="N137" s="4">
        <f t="shared" si="83"/>
        <v>35220.982947294833</v>
      </c>
    </row>
    <row r="138" spans="1:14" outlineLevel="1">
      <c r="A138" s="4" t="s">
        <v>85</v>
      </c>
      <c r="D138" s="32">
        <v>0</v>
      </c>
      <c r="E138" s="32">
        <v>0</v>
      </c>
      <c r="F138" s="32">
        <v>0</v>
      </c>
      <c r="G138" s="32">
        <v>0</v>
      </c>
      <c r="H138" s="55">
        <f>L273</f>
        <v>109680.62411561764</v>
      </c>
      <c r="I138" s="4">
        <f>H138</f>
        <v>109680.62411561764</v>
      </c>
      <c r="J138" s="4">
        <f t="shared" ref="J138:N138" si="84">I138</f>
        <v>109680.62411561764</v>
      </c>
      <c r="K138" s="4">
        <f t="shared" si="84"/>
        <v>109680.62411561764</v>
      </c>
      <c r="L138" s="4">
        <f t="shared" si="84"/>
        <v>109680.62411561764</v>
      </c>
      <c r="M138" s="4">
        <f t="shared" si="84"/>
        <v>109680.62411561764</v>
      </c>
      <c r="N138" s="4">
        <f t="shared" si="84"/>
        <v>109680.62411561764</v>
      </c>
    </row>
    <row r="139" spans="1:14" ht="17" outlineLevel="1" thickBot="1">
      <c r="A139" s="34" t="s">
        <v>19</v>
      </c>
      <c r="B139" s="34"/>
      <c r="C139" s="35"/>
      <c r="D139" s="36">
        <f>SUM(D136:D138)</f>
        <v>70510.326959856626</v>
      </c>
      <c r="E139" s="36">
        <f t="shared" ref="E139:N139" si="85">SUM(E136:E138)</f>
        <v>76479.115386050005</v>
      </c>
      <c r="F139" s="36">
        <f t="shared" si="85"/>
        <v>75411.799862579181</v>
      </c>
      <c r="G139" s="36">
        <f t="shared" si="85"/>
        <v>88770.915982948674</v>
      </c>
      <c r="H139" s="36">
        <f t="shared" ca="1" si="85"/>
        <v>161347.83317738114</v>
      </c>
      <c r="I139" s="36">
        <f t="shared" ca="1" si="85"/>
        <v>162293.16241966415</v>
      </c>
      <c r="J139" s="36">
        <f t="shared" ca="1" si="85"/>
        <v>162796.78877490474</v>
      </c>
      <c r="K139" s="36">
        <f t="shared" ca="1" si="85"/>
        <v>163448.51791748413</v>
      </c>
      <c r="L139" s="36">
        <f t="shared" ca="1" si="85"/>
        <v>164225.53545282327</v>
      </c>
      <c r="M139" s="36">
        <f t="shared" ca="1" si="85"/>
        <v>164738.16104587243</v>
      </c>
      <c r="N139" s="36">
        <f t="shared" ca="1" si="85"/>
        <v>165430.90975783998</v>
      </c>
    </row>
    <row r="140" spans="1:14" ht="17" outlineLevel="1" thickTop="1">
      <c r="A140" s="22"/>
      <c r="B140" s="22"/>
      <c r="C140" s="23"/>
      <c r="D140" s="24"/>
      <c r="E140" s="24"/>
      <c r="F140" s="24"/>
      <c r="G140" s="24"/>
      <c r="H140" s="32"/>
      <c r="I140" s="32"/>
      <c r="J140" s="32"/>
      <c r="K140" s="32"/>
      <c r="L140" s="32"/>
      <c r="M140" s="32"/>
      <c r="N140" s="32"/>
    </row>
    <row r="141" spans="1:14" outlineLevel="1">
      <c r="A141" s="15" t="s">
        <v>20</v>
      </c>
      <c r="C141" s="37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</row>
    <row r="142" spans="1:14" outlineLevel="1">
      <c r="A142" s="4" t="s">
        <v>70</v>
      </c>
      <c r="C142" s="37"/>
      <c r="D142" s="32">
        <v>0</v>
      </c>
      <c r="E142" s="32">
        <v>0</v>
      </c>
      <c r="F142" s="32">
        <v>0</v>
      </c>
      <c r="G142" s="32">
        <v>0</v>
      </c>
      <c r="H142" s="4">
        <f ca="1">H224</f>
        <v>6006.6325729365781</v>
      </c>
      <c r="I142" s="4">
        <f ca="1">I224</f>
        <v>3721.4650283524606</v>
      </c>
      <c r="J142" s="4">
        <f t="shared" ref="J142:N142" ca="1" si="86">J224</f>
        <v>0</v>
      </c>
      <c r="K142" s="4">
        <f t="shared" ca="1" si="86"/>
        <v>1.8189894035458565E-11</v>
      </c>
      <c r="L142" s="4">
        <f t="shared" ca="1" si="86"/>
        <v>15588.206495236591</v>
      </c>
      <c r="M142" s="4">
        <f t="shared" ca="1" si="86"/>
        <v>19435.897483888646</v>
      </c>
      <c r="N142" s="4">
        <f t="shared" ca="1" si="86"/>
        <v>10306.125504080228</v>
      </c>
    </row>
    <row r="143" spans="1:14" outlineLevel="1">
      <c r="A143" s="4" t="s">
        <v>21</v>
      </c>
      <c r="C143" s="37"/>
      <c r="D143" s="32">
        <v>2185.4278673835124</v>
      </c>
      <c r="E143" s="32">
        <v>2688.3960573476706</v>
      </c>
      <c r="F143" s="32">
        <v>2751.0640681003583</v>
      </c>
      <c r="G143" s="32">
        <v>2948.8127240143372</v>
      </c>
      <c r="H143" s="167">
        <f>H114*H44/$D$16</f>
        <v>2564.4547889969067</v>
      </c>
      <c r="I143" s="167">
        <f>I114*I44/$D$16</f>
        <v>2641.3884326668144</v>
      </c>
      <c r="J143" s="167">
        <f t="shared" ref="J143:N143" si="87">J114*J44/$D$16</f>
        <v>2684.8323213619924</v>
      </c>
      <c r="K143" s="167">
        <f t="shared" si="87"/>
        <v>2728.5055937894813</v>
      </c>
      <c r="L143" s="167">
        <f t="shared" si="87"/>
        <v>2772.3829134733928</v>
      </c>
      <c r="M143" s="167">
        <f t="shared" si="87"/>
        <v>2855.5544008775946</v>
      </c>
      <c r="N143" s="167">
        <f t="shared" si="87"/>
        <v>2941.2210329039226</v>
      </c>
    </row>
    <row r="144" spans="1:14" s="15" customFormat="1" outlineLevel="1">
      <c r="A144" s="17" t="s">
        <v>72</v>
      </c>
      <c r="B144" s="17"/>
      <c r="C144" s="88"/>
      <c r="D144" s="30">
        <f>SUM(D142:D143)</f>
        <v>2185.4278673835124</v>
      </c>
      <c r="E144" s="30">
        <f t="shared" ref="E144:I144" si="88">SUM(E142:E143)</f>
        <v>2688.3960573476706</v>
      </c>
      <c r="F144" s="30">
        <f t="shared" si="88"/>
        <v>2751.0640681003583</v>
      </c>
      <c r="G144" s="30">
        <f t="shared" si="88"/>
        <v>2948.8127240143372</v>
      </c>
      <c r="H144" s="30">
        <f t="shared" ca="1" si="88"/>
        <v>8571.0873619334852</v>
      </c>
      <c r="I144" s="30">
        <f t="shared" ca="1" si="88"/>
        <v>6362.8534610192746</v>
      </c>
      <c r="J144" s="30">
        <f t="shared" ref="J144" ca="1" si="89">SUM(J142:J143)</f>
        <v>2684.8323213619924</v>
      </c>
      <c r="K144" s="30">
        <f t="shared" ref="K144" ca="1" si="90">SUM(K142:K143)</f>
        <v>2728.5055937894995</v>
      </c>
      <c r="L144" s="30">
        <f t="shared" ref="L144" ca="1" si="91">SUM(L142:L143)</f>
        <v>18360.589408709984</v>
      </c>
      <c r="M144" s="30">
        <f t="shared" ref="M144" ca="1" si="92">SUM(M142:M143)</f>
        <v>22291.45188476624</v>
      </c>
      <c r="N144" s="30">
        <f t="shared" ref="N144" ca="1" si="93">SUM(N142:N143)</f>
        <v>13247.346536984151</v>
      </c>
    </row>
    <row r="145" spans="1:14" outlineLevel="1">
      <c r="A145" s="4" t="s">
        <v>71</v>
      </c>
      <c r="D145" s="32">
        <v>28001.792114695338</v>
      </c>
      <c r="E145" s="32">
        <v>28001.792114695338</v>
      </c>
      <c r="F145" s="32">
        <v>16801.075268817203</v>
      </c>
      <c r="G145" s="32">
        <v>16801.075268817203</v>
      </c>
      <c r="H145" s="4">
        <f ca="1">H256</f>
        <v>101250</v>
      </c>
      <c r="I145" s="4">
        <f ca="1">I256</f>
        <v>91250</v>
      </c>
      <c r="J145" s="4">
        <f t="shared" ref="J145:N145" ca="1" si="94">J256</f>
        <v>81114.514458303282</v>
      </c>
      <c r="K145" s="4">
        <f t="shared" ca="1" si="94"/>
        <v>66067.453100403232</v>
      </c>
      <c r="L145" s="4">
        <f t="shared" ca="1" si="94"/>
        <v>33658.726550201609</v>
      </c>
      <c r="M145" s="4">
        <f t="shared" ca="1" si="94"/>
        <v>11250</v>
      </c>
      <c r="N145" s="4">
        <f t="shared" ca="1" si="94"/>
        <v>0</v>
      </c>
    </row>
    <row r="146" spans="1:14" outlineLevel="1">
      <c r="A146" s="17" t="s">
        <v>22</v>
      </c>
      <c r="B146" s="17"/>
      <c r="C146" s="18"/>
      <c r="D146" s="30">
        <f>SUM(D144:D145)</f>
        <v>30187.219982078852</v>
      </c>
      <c r="E146" s="30">
        <f t="shared" ref="E146:I146" si="95">SUM(E144:E145)</f>
        <v>30690.18817204301</v>
      </c>
      <c r="F146" s="30">
        <f t="shared" si="95"/>
        <v>19552.13933691756</v>
      </c>
      <c r="G146" s="30">
        <f t="shared" si="95"/>
        <v>19749.88799283154</v>
      </c>
      <c r="H146" s="30">
        <f t="shared" ca="1" si="95"/>
        <v>109821.08736193349</v>
      </c>
      <c r="I146" s="30">
        <f t="shared" ca="1" si="95"/>
        <v>97612.853461019273</v>
      </c>
      <c r="J146" s="30">
        <f t="shared" ref="J146" ca="1" si="96">SUM(J144:J145)</f>
        <v>83799.346779665269</v>
      </c>
      <c r="K146" s="30">
        <f t="shared" ref="K146" ca="1" si="97">SUM(K144:K145)</f>
        <v>68795.958694192726</v>
      </c>
      <c r="L146" s="30">
        <f t="shared" ref="L146" ca="1" si="98">SUM(L144:L145)</f>
        <v>52019.315958911597</v>
      </c>
      <c r="M146" s="30">
        <f t="shared" ref="M146" ca="1" si="99">SUM(M144:M145)</f>
        <v>33541.45188476624</v>
      </c>
      <c r="N146" s="30">
        <f t="shared" ref="N146" ca="1" si="100">SUM(N144:N145)</f>
        <v>13247.346536984151</v>
      </c>
    </row>
    <row r="147" spans="1:14" outlineLevel="1">
      <c r="A147" s="15" t="s">
        <v>23</v>
      </c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</row>
    <row r="148" spans="1:14" outlineLevel="1">
      <c r="A148" s="4" t="s">
        <v>24</v>
      </c>
      <c r="D148" s="32">
        <v>39202.508960573476</v>
      </c>
      <c r="E148" s="32">
        <v>39202.508960573476</v>
      </c>
      <c r="F148" s="32">
        <v>39202.508960573476</v>
      </c>
      <c r="G148" s="32">
        <v>39202.508960573476</v>
      </c>
      <c r="H148" s="55">
        <f ca="1">L283+H173+H174</f>
        <v>45521.92099658621</v>
      </c>
      <c r="I148" s="4">
        <f ca="1">H148+I173+I174</f>
        <v>45521.92099658621</v>
      </c>
      <c r="J148" s="4">
        <f t="shared" ref="J148:N148" ca="1" si="101">I148+J173+J174</f>
        <v>45521.92099658621</v>
      </c>
      <c r="K148" s="4">
        <f t="shared" ca="1" si="101"/>
        <v>45521.92099658621</v>
      </c>
      <c r="L148" s="4">
        <f t="shared" ca="1" si="101"/>
        <v>45521.92099658621</v>
      </c>
      <c r="M148" s="4">
        <f t="shared" ca="1" si="101"/>
        <v>45521.92099658621</v>
      </c>
      <c r="N148" s="4">
        <f t="shared" ca="1" si="101"/>
        <v>45521.92099658621</v>
      </c>
    </row>
    <row r="149" spans="1:14" outlineLevel="1">
      <c r="A149" s="4" t="s">
        <v>25</v>
      </c>
      <c r="D149" s="32">
        <v>1120.5980172042969</v>
      </c>
      <c r="E149" s="13">
        <f>D149+E126+E175</f>
        <v>6586.4182534335214</v>
      </c>
      <c r="F149" s="13">
        <f t="shared" ref="F149:G149" si="102">E149+F126+F175</f>
        <v>16657.151565088141</v>
      </c>
      <c r="G149" s="13">
        <f t="shared" si="102"/>
        <v>29818.519029543659</v>
      </c>
      <c r="H149" s="55">
        <f ca="1">L284+H126+H175</f>
        <v>6004.8248188614507</v>
      </c>
      <c r="I149" s="4">
        <f ca="1">H149+I126+I175</f>
        <v>19158.387962058674</v>
      </c>
      <c r="J149" s="4">
        <f t="shared" ref="J149:N149" ca="1" si="103">I149+J126+J175</f>
        <v>33475.520998653243</v>
      </c>
      <c r="K149" s="4">
        <f t="shared" ca="1" si="103"/>
        <v>49130.638226705079</v>
      </c>
      <c r="L149" s="4">
        <f t="shared" ca="1" si="103"/>
        <v>66684.298497325042</v>
      </c>
      <c r="M149" s="4">
        <f t="shared" ca="1" si="103"/>
        <v>85674.788164490164</v>
      </c>
      <c r="N149" s="4">
        <f t="shared" ca="1" si="103"/>
        <v>106661.6422239205</v>
      </c>
    </row>
    <row r="150" spans="1:14" outlineLevel="1">
      <c r="A150" s="38" t="s">
        <v>23</v>
      </c>
      <c r="B150" s="38"/>
      <c r="C150" s="39"/>
      <c r="D150" s="40">
        <f>SUM(D148:D149)</f>
        <v>40323.106977777774</v>
      </c>
      <c r="E150" s="40">
        <f t="shared" ref="E150:I150" si="104">SUM(E148:E149)</f>
        <v>45788.927214006995</v>
      </c>
      <c r="F150" s="40">
        <f t="shared" si="104"/>
        <v>55859.660525661617</v>
      </c>
      <c r="G150" s="40">
        <f t="shared" si="104"/>
        <v>69021.027990117131</v>
      </c>
      <c r="H150" s="40">
        <f t="shared" ca="1" si="104"/>
        <v>51526.745815447663</v>
      </c>
      <c r="I150" s="40">
        <f t="shared" ca="1" si="104"/>
        <v>64680.308958644884</v>
      </c>
      <c r="J150" s="40">
        <f t="shared" ref="J150" ca="1" si="105">SUM(J148:J149)</f>
        <v>78997.441995239453</v>
      </c>
      <c r="K150" s="40">
        <f t="shared" ref="K150" ca="1" si="106">SUM(K148:K149)</f>
        <v>94652.55922329129</v>
      </c>
      <c r="L150" s="40">
        <f t="shared" ref="L150" ca="1" si="107">SUM(L148:L149)</f>
        <v>112206.21949391125</v>
      </c>
      <c r="M150" s="40">
        <f t="shared" ref="M150" ca="1" si="108">SUM(M148:M149)</f>
        <v>131196.70916107637</v>
      </c>
      <c r="N150" s="40">
        <f t="shared" ref="N150" ca="1" si="109">SUM(N148:N149)</f>
        <v>152183.56322050671</v>
      </c>
    </row>
    <row r="151" spans="1:14" ht="17" outlineLevel="1" thickBot="1">
      <c r="A151" s="34" t="s">
        <v>26</v>
      </c>
      <c r="B151" s="34"/>
      <c r="C151" s="35"/>
      <c r="D151" s="36">
        <f>D146+D150</f>
        <v>70510.326959856626</v>
      </c>
      <c r="E151" s="36">
        <f t="shared" ref="E151:I151" si="110">E146+E150</f>
        <v>76479.115386050005</v>
      </c>
      <c r="F151" s="36">
        <f t="shared" si="110"/>
        <v>75411.799862579181</v>
      </c>
      <c r="G151" s="36">
        <f t="shared" si="110"/>
        <v>88770.915982948674</v>
      </c>
      <c r="H151" s="36">
        <f t="shared" ca="1" si="110"/>
        <v>161347.83317738114</v>
      </c>
      <c r="I151" s="36">
        <f t="shared" ca="1" si="110"/>
        <v>162293.16241966415</v>
      </c>
      <c r="J151" s="36">
        <f t="shared" ref="J151" ca="1" si="111">J146+J150</f>
        <v>162796.78877490474</v>
      </c>
      <c r="K151" s="36">
        <f t="shared" ref="K151" ca="1" si="112">K146+K150</f>
        <v>163448.51791748402</v>
      </c>
      <c r="L151" s="36">
        <f t="shared" ref="L151" ca="1" si="113">L146+L150</f>
        <v>164225.53545282286</v>
      </c>
      <c r="M151" s="36">
        <f t="shared" ref="M151" ca="1" si="114">M146+M150</f>
        <v>164738.16104584263</v>
      </c>
      <c r="N151" s="36">
        <f t="shared" ref="N151" ca="1" si="115">N146+N150</f>
        <v>165430.90975749085</v>
      </c>
    </row>
    <row r="152" spans="1:14" ht="17" outlineLevel="1" thickTop="1"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1:14" outlineLevel="1">
      <c r="A153" s="41" t="s">
        <v>27</v>
      </c>
      <c r="B153" s="42"/>
      <c r="C153" s="43"/>
      <c r="D153" s="110">
        <f>D139-D151</f>
        <v>0</v>
      </c>
      <c r="E153" s="110">
        <f t="shared" ref="E153:M153" si="116">E139-E151</f>
        <v>0</v>
      </c>
      <c r="F153" s="110">
        <f t="shared" si="116"/>
        <v>0</v>
      </c>
      <c r="G153" s="110">
        <f t="shared" si="116"/>
        <v>0</v>
      </c>
      <c r="H153" s="110">
        <f t="shared" ca="1" si="116"/>
        <v>0</v>
      </c>
      <c r="I153" s="110">
        <f t="shared" ca="1" si="116"/>
        <v>0</v>
      </c>
      <c r="J153" s="110">
        <f t="shared" ca="1" si="116"/>
        <v>0</v>
      </c>
      <c r="K153" s="110">
        <f t="shared" ca="1" si="116"/>
        <v>0</v>
      </c>
      <c r="L153" s="110">
        <f t="shared" ca="1" si="116"/>
        <v>4.0745362639427185E-10</v>
      </c>
      <c r="M153" s="110">
        <f t="shared" ca="1" si="116"/>
        <v>2.9802322387695312E-8</v>
      </c>
      <c r="N153" s="110">
        <f t="shared" ref="N153" ca="1" si="117">N139-N151</f>
        <v>3.4912955015897751E-7</v>
      </c>
    </row>
    <row r="154" spans="1:14" outlineLevel="1">
      <c r="A154" s="41"/>
      <c r="B154" s="42"/>
      <c r="C154" s="43"/>
      <c r="D154" s="42"/>
      <c r="E154" s="42"/>
      <c r="F154" s="42"/>
      <c r="G154" s="42"/>
      <c r="H154" s="32"/>
    </row>
    <row r="155" spans="1:14">
      <c r="D155" s="32"/>
      <c r="E155" s="32"/>
      <c r="F155" s="32"/>
      <c r="G155" s="32"/>
      <c r="H155" s="32"/>
    </row>
    <row r="156" spans="1:14" ht="20">
      <c r="A156" s="10" t="s">
        <v>28</v>
      </c>
      <c r="B156" s="11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7" outlineLevel="1">
      <c r="D157" s="106">
        <f t="shared" ref="D157:F157" si="118">E157-1</f>
        <v>2014</v>
      </c>
      <c r="E157" s="106">
        <f t="shared" si="118"/>
        <v>2015</v>
      </c>
      <c r="F157" s="106">
        <f t="shared" si="118"/>
        <v>2016</v>
      </c>
      <c r="G157" s="106">
        <f>H157-1</f>
        <v>2017</v>
      </c>
      <c r="H157" s="107">
        <f>$D$11</f>
        <v>2018</v>
      </c>
      <c r="I157" s="107">
        <f>H157+1</f>
        <v>2019</v>
      </c>
      <c r="J157" s="107">
        <f t="shared" ref="J157:N157" si="119">I157+1</f>
        <v>2020</v>
      </c>
      <c r="K157" s="107">
        <f t="shared" si="119"/>
        <v>2021</v>
      </c>
      <c r="L157" s="107">
        <f t="shared" si="119"/>
        <v>2022</v>
      </c>
      <c r="M157" s="107">
        <f t="shared" si="119"/>
        <v>2023</v>
      </c>
      <c r="N157" s="107">
        <f t="shared" si="119"/>
        <v>2024</v>
      </c>
    </row>
    <row r="158" spans="1:14" outlineLevel="1">
      <c r="A158" s="16"/>
      <c r="B158" s="16"/>
      <c r="C158" s="44"/>
      <c r="D158" s="49"/>
      <c r="E158" s="49"/>
      <c r="F158" s="49"/>
      <c r="G158" s="49"/>
      <c r="H158" s="49"/>
      <c r="I158" s="16"/>
      <c r="J158" s="16"/>
      <c r="K158" s="16"/>
      <c r="L158" s="16"/>
      <c r="M158" s="16"/>
      <c r="N158" s="16"/>
    </row>
    <row r="159" spans="1:14" outlineLevel="1">
      <c r="A159" s="15" t="s">
        <v>29</v>
      </c>
      <c r="D159" s="14"/>
      <c r="E159" s="14"/>
      <c r="F159" s="14"/>
      <c r="G159" s="14"/>
      <c r="H159" s="32"/>
    </row>
    <row r="160" spans="1:14" outlineLevel="1">
      <c r="A160" s="4" t="s">
        <v>12</v>
      </c>
      <c r="D160" s="33">
        <f>D126</f>
        <v>1120.5980172043019</v>
      </c>
      <c r="E160" s="33">
        <f t="shared" ref="E160:G160" si="120">E126</f>
        <v>5465.820236229225</v>
      </c>
      <c r="F160" s="33">
        <f t="shared" si="120"/>
        <v>10070.733311654618</v>
      </c>
      <c r="G160" s="33">
        <f t="shared" si="120"/>
        <v>13161.367464455518</v>
      </c>
      <c r="H160" s="4">
        <f ca="1">H126</f>
        <v>11994.934423844383</v>
      </c>
      <c r="I160" s="4">
        <f t="shared" ref="I160:N160" ca="1" si="121">I126</f>
        <v>13153.563143197222</v>
      </c>
      <c r="J160" s="4">
        <f t="shared" ca="1" si="121"/>
        <v>14317.133036594572</v>
      </c>
      <c r="K160" s="4">
        <f t="shared" ca="1" si="121"/>
        <v>15655.117228051833</v>
      </c>
      <c r="L160" s="4">
        <f t="shared" ca="1" si="121"/>
        <v>17553.66027061997</v>
      </c>
      <c r="M160" s="4">
        <f t="shared" ca="1" si="121"/>
        <v>18990.48966716513</v>
      </c>
      <c r="N160" s="4">
        <f t="shared" ca="1" si="121"/>
        <v>20986.854059430341</v>
      </c>
    </row>
    <row r="161" spans="1:14" outlineLevel="1">
      <c r="A161" s="4" t="s">
        <v>30</v>
      </c>
      <c r="D161" s="33">
        <f>D121</f>
        <v>10920.698924731183</v>
      </c>
      <c r="E161" s="33">
        <f t="shared" ref="E161:G161" si="122">E121</f>
        <v>10164.650537634408</v>
      </c>
      <c r="F161" s="33">
        <f t="shared" si="122"/>
        <v>9635.4166666666661</v>
      </c>
      <c r="G161" s="33">
        <f t="shared" si="122"/>
        <v>9264.9529569892475</v>
      </c>
      <c r="H161" s="4">
        <f>H121</f>
        <v>6400</v>
      </c>
      <c r="I161" s="4">
        <f t="shared" ref="I161:N161" si="123">I121</f>
        <v>6515.8282426075275</v>
      </c>
      <c r="J161" s="4">
        <f t="shared" si="123"/>
        <v>6650.3656839717733</v>
      </c>
      <c r="K161" s="4">
        <f t="shared" si="123"/>
        <v>6714.0188366666671</v>
      </c>
      <c r="L161" s="4">
        <f t="shared" si="123"/>
        <v>6806.7531475072583</v>
      </c>
      <c r="M161" s="4">
        <f t="shared" si="123"/>
        <v>6924.0067385249495</v>
      </c>
      <c r="N161" s="4">
        <f t="shared" si="123"/>
        <v>6966.9825912587567</v>
      </c>
    </row>
    <row r="162" spans="1:14" outlineLevel="1">
      <c r="A162" s="4" t="s">
        <v>241</v>
      </c>
      <c r="D162" s="13">
        <f>D192</f>
        <v>5041.8066756272401</v>
      </c>
      <c r="E162" s="13">
        <f t="shared" ref="E162:G162" si="124">E192</f>
        <v>953.20900537634407</v>
      </c>
      <c r="F162" s="13">
        <f t="shared" si="124"/>
        <v>433.94377240143331</v>
      </c>
      <c r="G162" s="13">
        <f t="shared" si="124"/>
        <v>505.65636200717017</v>
      </c>
      <c r="H162" s="4">
        <f>H192</f>
        <v>1172.4257837433101</v>
      </c>
      <c r="I162" s="4">
        <f t="shared" ref="I162:N162" si="125">I192</f>
        <v>195.70839179186987</v>
      </c>
      <c r="J162" s="4">
        <f t="shared" si="125"/>
        <v>141.91670307091317</v>
      </c>
      <c r="K162" s="4">
        <f t="shared" si="125"/>
        <v>144.38431594880149</v>
      </c>
      <c r="L162" s="4">
        <f t="shared" si="125"/>
        <v>146.87226056659711</v>
      </c>
      <c r="M162" s="4">
        <f t="shared" si="125"/>
        <v>214.57484193321579</v>
      </c>
      <c r="N162" s="4">
        <f t="shared" si="125"/>
        <v>221.0120871912095</v>
      </c>
    </row>
    <row r="163" spans="1:14" outlineLevel="1">
      <c r="A163" s="17" t="s">
        <v>31</v>
      </c>
      <c r="B163" s="16"/>
      <c r="C163" s="44"/>
      <c r="D163" s="187">
        <f>D160+D161-D162</f>
        <v>6999.4902663082448</v>
      </c>
      <c r="E163" s="187">
        <f t="shared" ref="E163:H163" si="126">E160+E161-E162</f>
        <v>14677.261768487289</v>
      </c>
      <c r="F163" s="187">
        <f t="shared" si="126"/>
        <v>19272.206205919851</v>
      </c>
      <c r="G163" s="187">
        <f t="shared" si="126"/>
        <v>21920.664059437593</v>
      </c>
      <c r="H163" s="187">
        <f t="shared" ca="1" si="126"/>
        <v>17222.50864010107</v>
      </c>
      <c r="I163" s="187">
        <f t="shared" ref="I163" ca="1" si="127">I160+I161-I162</f>
        <v>19473.682994012881</v>
      </c>
      <c r="J163" s="187">
        <f t="shared" ref="J163" ca="1" si="128">J160+J161-J162</f>
        <v>20825.582017495432</v>
      </c>
      <c r="K163" s="187">
        <f t="shared" ref="K163" ca="1" si="129">K160+K161-K162</f>
        <v>22224.751748769697</v>
      </c>
      <c r="L163" s="187">
        <f t="shared" ref="L163" ca="1" si="130">L160+L161-L162</f>
        <v>24213.54115756063</v>
      </c>
      <c r="M163" s="187">
        <f t="shared" ref="M163" ca="1" si="131">M160+M161-M162</f>
        <v>25699.921563756863</v>
      </c>
      <c r="N163" s="187">
        <f t="shared" ref="N163" ca="1" si="132">N160+N161-N162</f>
        <v>27732.824563497888</v>
      </c>
    </row>
    <row r="164" spans="1:14" outlineLevel="1">
      <c r="A164" s="22"/>
      <c r="B164" s="19"/>
      <c r="C164" s="20"/>
      <c r="D164" s="188"/>
      <c r="E164" s="188"/>
      <c r="F164" s="188"/>
      <c r="G164" s="188"/>
      <c r="H164" s="32"/>
      <c r="I164" s="32"/>
      <c r="J164" s="32"/>
      <c r="K164" s="32"/>
      <c r="L164" s="32"/>
      <c r="M164" s="32"/>
      <c r="N164" s="32"/>
    </row>
    <row r="165" spans="1:14" outlineLevel="1">
      <c r="A165" s="15" t="s">
        <v>32</v>
      </c>
      <c r="D165" s="189"/>
      <c r="E165" s="189"/>
      <c r="F165" s="189"/>
      <c r="G165" s="189"/>
      <c r="H165" s="32"/>
      <c r="I165" s="32"/>
      <c r="J165" s="32"/>
      <c r="K165" s="32"/>
      <c r="L165" s="32"/>
      <c r="M165" s="32"/>
      <c r="N165" s="32"/>
    </row>
    <row r="166" spans="1:14" outlineLevel="1">
      <c r="A166" s="4" t="s">
        <v>33</v>
      </c>
      <c r="D166" s="14">
        <v>-8400.5376344086017</v>
      </c>
      <c r="E166" s="14">
        <v>-8400.5376344086017</v>
      </c>
      <c r="F166" s="14">
        <v>-8400.5376344086017</v>
      </c>
      <c r="G166" s="14">
        <v>-8400.5376344086017</v>
      </c>
      <c r="H166" s="47">
        <f>-H196</f>
        <v>-6979.1412130376348</v>
      </c>
      <c r="I166" s="47">
        <f t="shared" ref="I166:N166" si="133">-I196</f>
        <v>-7188.5154494287644</v>
      </c>
      <c r="J166" s="47">
        <f t="shared" si="133"/>
        <v>-6968.6314474462379</v>
      </c>
      <c r="K166" s="47">
        <f t="shared" si="133"/>
        <v>-7177.6903908696258</v>
      </c>
      <c r="L166" s="47">
        <f t="shared" si="133"/>
        <v>-7393.0211025957151</v>
      </c>
      <c r="M166" s="47">
        <f t="shared" si="133"/>
        <v>-7138.8860021939872</v>
      </c>
      <c r="N166" s="47">
        <f t="shared" si="133"/>
        <v>-7353.0525822598065</v>
      </c>
    </row>
    <row r="167" spans="1:14" outlineLevel="1">
      <c r="A167" s="4" t="s">
        <v>90</v>
      </c>
      <c r="D167" s="190"/>
      <c r="E167" s="190"/>
      <c r="F167" s="190"/>
      <c r="G167" s="190"/>
      <c r="H167" s="14"/>
      <c r="I167" s="14"/>
      <c r="J167" s="14"/>
      <c r="K167" s="14"/>
      <c r="L167" s="14"/>
      <c r="M167" s="14"/>
      <c r="N167" s="14"/>
    </row>
    <row r="168" spans="1:14" outlineLevel="1">
      <c r="A168" s="17" t="s">
        <v>34</v>
      </c>
      <c r="B168" s="16"/>
      <c r="C168" s="44"/>
      <c r="D168" s="187">
        <f>SUM(D166:D167)</f>
        <v>-8400.5376344086017</v>
      </c>
      <c r="E168" s="187">
        <f t="shared" ref="E168:H168" si="134">SUM(E166:E167)</f>
        <v>-8400.5376344086017</v>
      </c>
      <c r="F168" s="187">
        <f t="shared" si="134"/>
        <v>-8400.5376344086017</v>
      </c>
      <c r="G168" s="187">
        <f t="shared" si="134"/>
        <v>-8400.5376344086017</v>
      </c>
      <c r="H168" s="187">
        <f t="shared" si="134"/>
        <v>-6979.1412130376348</v>
      </c>
      <c r="I168" s="187">
        <f t="shared" ref="I168" si="135">SUM(I166:I167)</f>
        <v>-7188.5154494287644</v>
      </c>
      <c r="J168" s="187">
        <f t="shared" ref="J168" si="136">SUM(J166:J167)</f>
        <v>-6968.6314474462379</v>
      </c>
      <c r="K168" s="187">
        <f t="shared" ref="K168" si="137">SUM(K166:K167)</f>
        <v>-7177.6903908696258</v>
      </c>
      <c r="L168" s="187">
        <f t="shared" ref="L168" si="138">SUM(L166:L167)</f>
        <v>-7393.0211025957151</v>
      </c>
      <c r="M168" s="187">
        <f t="shared" ref="M168" si="139">SUM(M166:M167)</f>
        <v>-7138.8860021939872</v>
      </c>
      <c r="N168" s="187">
        <f t="shared" ref="N168" si="140">SUM(N166:N167)</f>
        <v>-7353.0525822598065</v>
      </c>
    </row>
    <row r="169" spans="1:14" outlineLevel="1">
      <c r="A169" s="22"/>
      <c r="B169" s="19"/>
      <c r="C169" s="20"/>
      <c r="D169" s="188"/>
      <c r="E169" s="188"/>
      <c r="F169" s="188"/>
      <c r="G169" s="188"/>
      <c r="H169" s="32"/>
      <c r="I169" s="32"/>
      <c r="J169" s="32"/>
      <c r="K169" s="32"/>
      <c r="L169" s="32"/>
      <c r="M169" s="32"/>
      <c r="N169" s="32"/>
    </row>
    <row r="170" spans="1:14" outlineLevel="1">
      <c r="A170" s="15" t="s">
        <v>35</v>
      </c>
      <c r="D170" s="189"/>
      <c r="E170" s="189"/>
      <c r="F170" s="189"/>
      <c r="G170" s="189"/>
      <c r="H170" s="32"/>
      <c r="I170" s="32"/>
      <c r="J170" s="32"/>
      <c r="K170" s="32"/>
      <c r="L170" s="32"/>
      <c r="M170" s="32"/>
      <c r="N170" s="32"/>
    </row>
    <row r="171" spans="1:14" outlineLevel="1">
      <c r="A171" s="4" t="s">
        <v>158</v>
      </c>
      <c r="D171" s="189">
        <v>0</v>
      </c>
      <c r="E171" s="189">
        <v>0</v>
      </c>
      <c r="F171" s="189">
        <v>0</v>
      </c>
      <c r="G171" s="189">
        <v>0</v>
      </c>
      <c r="H171" s="13">
        <f ca="1">H222</f>
        <v>0</v>
      </c>
      <c r="I171" s="13">
        <f t="shared" ref="I171:N171" ca="1" si="141">I222</f>
        <v>0</v>
      </c>
      <c r="J171" s="13">
        <f t="shared" ca="1" si="141"/>
        <v>0</v>
      </c>
      <c r="K171" s="13">
        <f t="shared" ca="1" si="141"/>
        <v>1.8189894035458565E-11</v>
      </c>
      <c r="L171" s="13">
        <f t="shared" ca="1" si="141"/>
        <v>15588.206495236413</v>
      </c>
      <c r="M171" s="13">
        <f t="shared" ca="1" si="141"/>
        <v>3847.6909886515459</v>
      </c>
      <c r="N171" s="13">
        <f t="shared" ca="1" si="141"/>
        <v>1.2478703865781426E-6</v>
      </c>
    </row>
    <row r="172" spans="1:14" outlineLevel="1">
      <c r="A172" s="4" t="s">
        <v>149</v>
      </c>
      <c r="D172" s="189">
        <v>0</v>
      </c>
      <c r="E172" s="189">
        <v>0</v>
      </c>
      <c r="F172" s="189">
        <v>-11200.716845878136</v>
      </c>
      <c r="G172" s="189">
        <v>0</v>
      </c>
      <c r="H172" s="13">
        <f ca="1">-(H223+H254+H255)</f>
        <v>-10243.367427063422</v>
      </c>
      <c r="I172" s="13">
        <f t="shared" ref="I172:N172" ca="1" si="142">-(I223+I254+I255)</f>
        <v>-12285.167544584117</v>
      </c>
      <c r="J172" s="13">
        <f t="shared" ca="1" si="142"/>
        <v>-13856.950570049186</v>
      </c>
      <c r="K172" s="13">
        <f t="shared" ca="1" si="142"/>
        <v>-15047.061357900053</v>
      </c>
      <c r="L172" s="13">
        <f t="shared" ca="1" si="142"/>
        <v>-32408.726550201605</v>
      </c>
      <c r="M172" s="13">
        <f t="shared" ca="1" si="142"/>
        <v>-22408.726550201514</v>
      </c>
      <c r="N172" s="13">
        <f t="shared" ca="1" si="142"/>
        <v>-20379.771981086284</v>
      </c>
    </row>
    <row r="173" spans="1:14" outlineLevel="1">
      <c r="A173" s="4" t="s">
        <v>150</v>
      </c>
      <c r="D173" s="189">
        <v>39202.508960573476</v>
      </c>
      <c r="E173" s="189">
        <v>0</v>
      </c>
      <c r="F173" s="189">
        <v>0</v>
      </c>
      <c r="G173" s="189">
        <v>0</v>
      </c>
      <c r="H173" s="155"/>
      <c r="I173" s="155"/>
      <c r="J173" s="155"/>
      <c r="K173" s="155"/>
      <c r="L173" s="155"/>
      <c r="M173" s="155"/>
      <c r="N173" s="155"/>
    </row>
    <row r="174" spans="1:14" outlineLevel="1">
      <c r="A174" s="4" t="s">
        <v>151</v>
      </c>
      <c r="D174" s="189"/>
      <c r="E174" s="189"/>
      <c r="F174" s="189"/>
      <c r="G174" s="189"/>
      <c r="H174" s="155"/>
      <c r="I174" s="155"/>
      <c r="J174" s="155"/>
      <c r="K174" s="155"/>
      <c r="L174" s="155"/>
      <c r="M174" s="155"/>
      <c r="N174" s="155"/>
    </row>
    <row r="175" spans="1:14" outlineLevel="1">
      <c r="A175" s="4" t="s">
        <v>98</v>
      </c>
      <c r="D175" s="189">
        <v>0</v>
      </c>
      <c r="E175" s="189">
        <v>0</v>
      </c>
      <c r="F175" s="189">
        <v>0</v>
      </c>
      <c r="G175" s="189">
        <v>0</v>
      </c>
      <c r="H175" s="155"/>
      <c r="I175" s="155"/>
      <c r="J175" s="155"/>
      <c r="K175" s="155"/>
      <c r="L175" s="155"/>
      <c r="M175" s="155"/>
      <c r="N175" s="155"/>
    </row>
    <row r="176" spans="1:14" outlineLevel="1">
      <c r="A176" s="17" t="s">
        <v>36</v>
      </c>
      <c r="B176" s="16"/>
      <c r="C176" s="44"/>
      <c r="D176" s="187">
        <f>SUM(D171:D175)</f>
        <v>39202.508960573476</v>
      </c>
      <c r="E176" s="187">
        <f t="shared" ref="E176:H176" si="143">SUM(E171:E175)</f>
        <v>0</v>
      </c>
      <c r="F176" s="187">
        <f t="shared" si="143"/>
        <v>-11200.716845878136</v>
      </c>
      <c r="G176" s="187">
        <f t="shared" si="143"/>
        <v>0</v>
      </c>
      <c r="H176" s="187">
        <f t="shared" ca="1" si="143"/>
        <v>-10243.367427063422</v>
      </c>
      <c r="I176" s="187">
        <f t="shared" ref="I176" ca="1" si="144">SUM(I171:I175)</f>
        <v>-12285.167544584117</v>
      </c>
      <c r="J176" s="187">
        <f t="shared" ref="J176" ca="1" si="145">SUM(J171:J175)</f>
        <v>-13856.950570049186</v>
      </c>
      <c r="K176" s="187">
        <f t="shared" ref="K176" ca="1" si="146">SUM(K171:K175)</f>
        <v>-15047.061357900035</v>
      </c>
      <c r="L176" s="187">
        <f t="shared" ref="L176" ca="1" si="147">SUM(L171:L175)</f>
        <v>-16820.520054965193</v>
      </c>
      <c r="M176" s="187">
        <f t="shared" ref="M176" ca="1" si="148">SUM(M171:M175)</f>
        <v>-18561.035561549968</v>
      </c>
      <c r="N176" s="187">
        <f t="shared" ref="N176" ca="1" si="149">SUM(N171:N175)</f>
        <v>-20379.771979838413</v>
      </c>
    </row>
    <row r="177" spans="1:14" outlineLevel="1">
      <c r="A177" s="22"/>
      <c r="B177" s="19"/>
      <c r="C177" s="20"/>
      <c r="D177" s="188"/>
      <c r="E177" s="188"/>
      <c r="F177" s="188"/>
      <c r="G177" s="188"/>
      <c r="H177" s="32"/>
      <c r="I177" s="32"/>
      <c r="J177" s="32"/>
      <c r="K177" s="32"/>
      <c r="L177" s="32"/>
      <c r="M177" s="32"/>
      <c r="N177" s="32"/>
    </row>
    <row r="178" spans="1:14" outlineLevel="1">
      <c r="A178" s="4" t="s">
        <v>37</v>
      </c>
      <c r="D178" s="21">
        <f>D163+D168+D176</f>
        <v>37801.461592473119</v>
      </c>
      <c r="E178" s="21">
        <f t="shared" ref="E178:H178" si="150">E163+E168+E176</f>
        <v>6276.7241340786877</v>
      </c>
      <c r="F178" s="21">
        <f t="shared" si="150"/>
        <v>-329.0482743668872</v>
      </c>
      <c r="G178" s="21">
        <f t="shared" si="150"/>
        <v>13520.126425028991</v>
      </c>
      <c r="H178" s="21">
        <f t="shared" ca="1" si="150"/>
        <v>1.4551915228366852E-11</v>
      </c>
      <c r="I178" s="21">
        <f t="shared" ref="I178:N178" ca="1" si="151">I163+I168+I176</f>
        <v>0</v>
      </c>
      <c r="J178" s="21">
        <f t="shared" ca="1" si="151"/>
        <v>0</v>
      </c>
      <c r="K178" s="21">
        <f t="shared" ca="1" si="151"/>
        <v>3.637978807091713E-11</v>
      </c>
      <c r="L178" s="21">
        <f t="shared" ca="1" si="151"/>
        <v>-2.7648638933897018E-10</v>
      </c>
      <c r="M178" s="21">
        <f t="shared" ca="1" si="151"/>
        <v>1.2907548807561398E-8</v>
      </c>
      <c r="N178" s="21">
        <f t="shared" ca="1" si="151"/>
        <v>1.3996686902828515E-6</v>
      </c>
    </row>
    <row r="179" spans="1:14" outlineLevel="1">
      <c r="A179" s="4" t="s">
        <v>38</v>
      </c>
      <c r="D179" s="189">
        <v>0</v>
      </c>
      <c r="E179" s="190">
        <f>D180</f>
        <v>37801.461592473119</v>
      </c>
      <c r="F179" s="190">
        <f t="shared" ref="F179:G179" si="152">E180</f>
        <v>44078.185726551805</v>
      </c>
      <c r="G179" s="190">
        <f t="shared" si="152"/>
        <v>43749.137452184921</v>
      </c>
      <c r="H179" s="127">
        <f ca="1">L268</f>
        <v>9999.9999999999854</v>
      </c>
      <c r="I179" s="13">
        <f ca="1">H180</f>
        <v>10000</v>
      </c>
      <c r="J179" s="13">
        <f t="shared" ref="J179:N179" ca="1" si="153">I180</f>
        <v>10000</v>
      </c>
      <c r="K179" s="13">
        <f t="shared" ca="1" si="153"/>
        <v>10000</v>
      </c>
      <c r="L179" s="13">
        <f t="shared" ca="1" si="153"/>
        <v>10000.000000000164</v>
      </c>
      <c r="M179" s="13">
        <f t="shared" ca="1" si="153"/>
        <v>10000.000000000317</v>
      </c>
      <c r="N179" s="13">
        <f t="shared" ca="1" si="153"/>
        <v>10000.000000043045</v>
      </c>
    </row>
    <row r="180" spans="1:14" outlineLevel="1">
      <c r="A180" s="17" t="s">
        <v>39</v>
      </c>
      <c r="B180" s="16"/>
      <c r="C180" s="44"/>
      <c r="D180" s="187">
        <f>D179+D178</f>
        <v>37801.461592473119</v>
      </c>
      <c r="E180" s="187">
        <f t="shared" ref="E180:H180" si="154">E179+E178</f>
        <v>44078.185726551805</v>
      </c>
      <c r="F180" s="187">
        <f t="shared" si="154"/>
        <v>43749.137452184921</v>
      </c>
      <c r="G180" s="187">
        <f t="shared" si="154"/>
        <v>57269.263877213911</v>
      </c>
      <c r="H180" s="187">
        <f t="shared" ca="1" si="154"/>
        <v>10000</v>
      </c>
      <c r="I180" s="187">
        <f t="shared" ref="I180" ca="1" si="155">I179+I178</f>
        <v>10000</v>
      </c>
      <c r="J180" s="187">
        <f t="shared" ref="J180" ca="1" si="156">J179+J178</f>
        <v>10000</v>
      </c>
      <c r="K180" s="187">
        <f t="shared" ref="K180" ca="1" si="157">K179+K178</f>
        <v>10000.000000000036</v>
      </c>
      <c r="L180" s="187">
        <f t="shared" ref="L180" ca="1" si="158">L179+L178</f>
        <v>9999.9999999998872</v>
      </c>
      <c r="M180" s="187">
        <f t="shared" ref="M180" ca="1" si="159">M179+M178</f>
        <v>10000.000000013224</v>
      </c>
      <c r="N180" s="187">
        <f t="shared" ref="N180" ca="1" si="160">N179+N178</f>
        <v>10000.000001442713</v>
      </c>
    </row>
    <row r="181" spans="1:14" outlineLevel="1">
      <c r="A181" s="15"/>
      <c r="D181" s="24"/>
      <c r="E181" s="32"/>
      <c r="F181" s="32"/>
      <c r="G181" s="32"/>
      <c r="H181" s="32"/>
    </row>
    <row r="182" spans="1:14">
      <c r="D182" s="32"/>
      <c r="E182" s="32"/>
      <c r="F182" s="32"/>
      <c r="G182" s="32"/>
      <c r="H182" s="32"/>
    </row>
    <row r="183" spans="1:14" ht="20">
      <c r="A183" s="10" t="s">
        <v>209</v>
      </c>
      <c r="B183" s="11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ht="17" outlineLevel="1">
      <c r="D184" s="106">
        <f t="shared" ref="D184:F184" si="161">E184-1</f>
        <v>2014</v>
      </c>
      <c r="E184" s="106">
        <f t="shared" si="161"/>
        <v>2015</v>
      </c>
      <c r="F184" s="106">
        <f t="shared" si="161"/>
        <v>2016</v>
      </c>
      <c r="G184" s="106">
        <f>H184-1</f>
        <v>2017</v>
      </c>
      <c r="H184" s="107">
        <f>$D$11</f>
        <v>2018</v>
      </c>
      <c r="I184" s="107">
        <f>H184+1</f>
        <v>2019</v>
      </c>
      <c r="J184" s="107">
        <f t="shared" ref="J184:N184" si="162">I184+1</f>
        <v>2020</v>
      </c>
      <c r="K184" s="107">
        <f t="shared" si="162"/>
        <v>2021</v>
      </c>
      <c r="L184" s="107">
        <f t="shared" si="162"/>
        <v>2022</v>
      </c>
      <c r="M184" s="107">
        <f t="shared" si="162"/>
        <v>2023</v>
      </c>
      <c r="N184" s="107">
        <f t="shared" si="162"/>
        <v>2024</v>
      </c>
    </row>
    <row r="185" spans="1:14" outlineLevel="1">
      <c r="A185" s="16"/>
      <c r="B185" s="16"/>
      <c r="C185" s="44"/>
      <c r="D185" s="49"/>
      <c r="E185" s="49"/>
      <c r="F185" s="49"/>
      <c r="G185" s="49"/>
      <c r="H185" s="49"/>
      <c r="I185" s="16"/>
      <c r="J185" s="16"/>
      <c r="K185" s="16"/>
      <c r="L185" s="16"/>
      <c r="M185" s="16"/>
      <c r="N185" s="16"/>
    </row>
    <row r="186" spans="1:14" outlineLevel="1">
      <c r="A186" s="15" t="s">
        <v>40</v>
      </c>
      <c r="D186" s="32"/>
      <c r="E186" s="32"/>
      <c r="F186" s="32"/>
      <c r="G186" s="32"/>
      <c r="H186" s="32"/>
    </row>
    <row r="187" spans="1:14" outlineLevel="1">
      <c r="A187" s="4" t="s">
        <v>16</v>
      </c>
      <c r="D187" s="47">
        <f>D134</f>
        <v>2856.3788082437277</v>
      </c>
      <c r="E187" s="47">
        <f t="shared" ref="E187:G187" si="163">E134</f>
        <v>3306.619623655914</v>
      </c>
      <c r="F187" s="47">
        <f t="shared" si="163"/>
        <v>3677.8953853046592</v>
      </c>
      <c r="G187" s="47">
        <f t="shared" si="163"/>
        <v>3985.8030913978496</v>
      </c>
      <c r="H187" s="47">
        <f t="shared" ref="H187:N187" si="164">H134</f>
        <v>2249.5217447341288</v>
      </c>
      <c r="I187" s="47">
        <f t="shared" si="164"/>
        <v>2317.0073970761528</v>
      </c>
      <c r="J187" s="47">
        <f t="shared" si="164"/>
        <v>2386.5176189884378</v>
      </c>
      <c r="K187" s="47">
        <f t="shared" si="164"/>
        <v>2458.113147558091</v>
      </c>
      <c r="L187" s="47">
        <f t="shared" si="164"/>
        <v>2531.8565419848337</v>
      </c>
      <c r="M187" s="47">
        <f t="shared" si="164"/>
        <v>2607.8122382443789</v>
      </c>
      <c r="N187" s="47">
        <f t="shared" si="164"/>
        <v>2686.0466053917103</v>
      </c>
    </row>
    <row r="188" spans="1:14" outlineLevel="1">
      <c r="A188" s="4" t="s">
        <v>17</v>
      </c>
      <c r="D188" s="47">
        <f>D135</f>
        <v>4370.8557347670248</v>
      </c>
      <c r="E188" s="47">
        <f t="shared" ref="E188:G188" si="165">E135</f>
        <v>5376.7921146953413</v>
      </c>
      <c r="F188" s="47">
        <f t="shared" si="165"/>
        <v>5502.1281362007167</v>
      </c>
      <c r="G188" s="47">
        <f t="shared" si="165"/>
        <v>5897.6254480286743</v>
      </c>
      <c r="H188" s="47">
        <f t="shared" ref="H188:N188" si="166">H135</f>
        <v>6838.5461039917518</v>
      </c>
      <c r="I188" s="47">
        <f t="shared" si="166"/>
        <v>7043.7024871115045</v>
      </c>
      <c r="J188" s="47">
        <f t="shared" si="166"/>
        <v>7159.5528569653115</v>
      </c>
      <c r="K188" s="47">
        <f t="shared" si="166"/>
        <v>7276.0149167719492</v>
      </c>
      <c r="L188" s="47">
        <f t="shared" si="166"/>
        <v>7393.0211025957142</v>
      </c>
      <c r="M188" s="47">
        <f t="shared" si="166"/>
        <v>7614.8117356735856</v>
      </c>
      <c r="N188" s="47">
        <f t="shared" si="166"/>
        <v>7843.2560877437936</v>
      </c>
    </row>
    <row r="189" spans="1:14" outlineLevel="1">
      <c r="A189" s="4" t="s">
        <v>21</v>
      </c>
      <c r="D189" s="47">
        <f>D143</f>
        <v>2185.4278673835124</v>
      </c>
      <c r="E189" s="47">
        <f t="shared" ref="E189:G189" si="167">E143</f>
        <v>2688.3960573476706</v>
      </c>
      <c r="F189" s="47">
        <f t="shared" si="167"/>
        <v>2751.0640681003583</v>
      </c>
      <c r="G189" s="47">
        <f t="shared" si="167"/>
        <v>2948.8127240143372</v>
      </c>
      <c r="H189" s="47">
        <f t="shared" ref="H189:N189" si="168">H143</f>
        <v>2564.4547889969067</v>
      </c>
      <c r="I189" s="47">
        <f t="shared" si="168"/>
        <v>2641.3884326668144</v>
      </c>
      <c r="J189" s="47">
        <f t="shared" si="168"/>
        <v>2684.8323213619924</v>
      </c>
      <c r="K189" s="47">
        <f t="shared" si="168"/>
        <v>2728.5055937894813</v>
      </c>
      <c r="L189" s="47">
        <f t="shared" si="168"/>
        <v>2772.3829134733928</v>
      </c>
      <c r="M189" s="47">
        <f t="shared" si="168"/>
        <v>2855.5544008775946</v>
      </c>
      <c r="N189" s="47">
        <f t="shared" si="168"/>
        <v>2941.2210329039226</v>
      </c>
    </row>
    <row r="190" spans="1:14" outlineLevel="1">
      <c r="A190" s="16" t="s">
        <v>41</v>
      </c>
      <c r="B190" s="16"/>
      <c r="C190" s="44"/>
      <c r="D190" s="46">
        <f>D187+D188-D189</f>
        <v>5041.8066756272401</v>
      </c>
      <c r="E190" s="46">
        <f t="shared" ref="E190:G190" si="169">E187+E188-E189</f>
        <v>5995.0156810035842</v>
      </c>
      <c r="F190" s="46">
        <f t="shared" si="169"/>
        <v>6428.9594534050175</v>
      </c>
      <c r="G190" s="46">
        <f t="shared" si="169"/>
        <v>6934.6158154121877</v>
      </c>
      <c r="H190" s="46">
        <f t="shared" ref="H190" si="170">H187+H188-H189</f>
        <v>6523.6130597289739</v>
      </c>
      <c r="I190" s="46">
        <f t="shared" ref="I190" si="171">I187+I188-I189</f>
        <v>6719.3214515208438</v>
      </c>
      <c r="J190" s="46">
        <f t="shared" ref="J190" si="172">J187+J188-J189</f>
        <v>6861.2381545917569</v>
      </c>
      <c r="K190" s="46">
        <f t="shared" ref="K190" si="173">K187+K188-K189</f>
        <v>7005.6224705405584</v>
      </c>
      <c r="L190" s="46">
        <f t="shared" ref="L190" si="174">L187+L188-L189</f>
        <v>7152.4947311071555</v>
      </c>
      <c r="M190" s="46">
        <f t="shared" ref="M190" si="175">M187+M188-M189</f>
        <v>7367.0695730403713</v>
      </c>
      <c r="N190" s="46">
        <f t="shared" ref="N190" si="176">N187+N188-N189</f>
        <v>7588.0816602315808</v>
      </c>
    </row>
    <row r="191" spans="1:14" outlineLevel="1">
      <c r="A191" s="19" t="s">
        <v>216</v>
      </c>
      <c r="B191" s="19"/>
      <c r="C191" s="20"/>
      <c r="D191" s="45"/>
      <c r="E191" s="45"/>
      <c r="F191" s="45"/>
      <c r="G191" s="45"/>
      <c r="H191" s="127">
        <f>-(F76+F75)</f>
        <v>1583.4285394265239</v>
      </c>
    </row>
    <row r="192" spans="1:14" outlineLevel="1">
      <c r="A192" s="16" t="s">
        <v>42</v>
      </c>
      <c r="B192" s="16"/>
      <c r="C192" s="44"/>
      <c r="D192" s="46">
        <f>D190-C190+D191</f>
        <v>5041.8066756272401</v>
      </c>
      <c r="E192" s="46">
        <f t="shared" ref="E192:G192" si="177">E190-D190+E191</f>
        <v>953.20900537634407</v>
      </c>
      <c r="F192" s="46">
        <f t="shared" si="177"/>
        <v>433.94377240143331</v>
      </c>
      <c r="G192" s="46">
        <f t="shared" si="177"/>
        <v>505.65636200717017</v>
      </c>
      <c r="H192" s="46">
        <f t="shared" ref="H192" si="178">H190-G190+H191</f>
        <v>1172.4257837433101</v>
      </c>
      <c r="I192" s="46">
        <f t="shared" ref="I192" si="179">I190-H190+I191</f>
        <v>195.70839179186987</v>
      </c>
      <c r="J192" s="46">
        <f t="shared" ref="J192" si="180">J190-I190+J191</f>
        <v>141.91670307091317</v>
      </c>
      <c r="K192" s="46">
        <f t="shared" ref="K192" si="181">K190-J190+K191</f>
        <v>144.38431594880149</v>
      </c>
      <c r="L192" s="46">
        <f t="shared" ref="L192" si="182">L190-K190+L191</f>
        <v>146.87226056659711</v>
      </c>
      <c r="M192" s="46">
        <f t="shared" ref="M192" si="183">M190-L190+M191</f>
        <v>214.57484193321579</v>
      </c>
      <c r="N192" s="46">
        <f t="shared" ref="N192" si="184">N190-M190+N191</f>
        <v>221.0120871912095</v>
      </c>
    </row>
    <row r="193" spans="1:14" outlineLevel="1"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</row>
    <row r="194" spans="1:14" outlineLevel="1">
      <c r="A194" s="15" t="s">
        <v>43</v>
      </c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</row>
    <row r="195" spans="1:14" outlineLevel="1">
      <c r="A195" s="4" t="s">
        <v>44</v>
      </c>
      <c r="D195" s="47">
        <f>D198+D197-D196</f>
        <v>28001.792114695338</v>
      </c>
      <c r="E195" s="47">
        <f>D198</f>
        <v>25481.630824372758</v>
      </c>
      <c r="F195" s="47">
        <f t="shared" ref="F195:G195" si="185">E198</f>
        <v>23717.517921146951</v>
      </c>
      <c r="G195" s="47">
        <f t="shared" si="185"/>
        <v>22482.638888888891</v>
      </c>
      <c r="H195" s="127">
        <f>L272</f>
        <v>32000</v>
      </c>
      <c r="I195" s="4">
        <f>H198</f>
        <v>32579.141213037634</v>
      </c>
      <c r="J195" s="4">
        <f t="shared" ref="J195:N195" si="186">I198</f>
        <v>33251.828419858866</v>
      </c>
      <c r="K195" s="4">
        <f t="shared" si="186"/>
        <v>33570.094183333335</v>
      </c>
      <c r="L195" s="4">
        <f t="shared" si="186"/>
        <v>34033.765737536291</v>
      </c>
      <c r="M195" s="4">
        <f t="shared" si="186"/>
        <v>34620.033692624747</v>
      </c>
      <c r="N195" s="4">
        <f t="shared" si="186"/>
        <v>34834.912956293781</v>
      </c>
    </row>
    <row r="196" spans="1:14" outlineLevel="1">
      <c r="A196" s="4" t="s">
        <v>45</v>
      </c>
      <c r="D196" s="47">
        <f>-D166</f>
        <v>8400.5376344086017</v>
      </c>
      <c r="E196" s="47">
        <f>-E166</f>
        <v>8400.5376344086017</v>
      </c>
      <c r="F196" s="47">
        <f t="shared" ref="F196:G196" si="187">-F166</f>
        <v>8400.5376344086017</v>
      </c>
      <c r="G196" s="47">
        <f t="shared" si="187"/>
        <v>8400.5376344086017</v>
      </c>
      <c r="H196" s="47">
        <f>H113*H46</f>
        <v>6979.1412130376348</v>
      </c>
      <c r="I196" s="47">
        <f>I113*I46</f>
        <v>7188.5154494287644</v>
      </c>
      <c r="J196" s="47">
        <f t="shared" ref="J196:N196" si="188">J113*J46</f>
        <v>6968.6314474462379</v>
      </c>
      <c r="K196" s="47">
        <f t="shared" si="188"/>
        <v>7177.6903908696258</v>
      </c>
      <c r="L196" s="47">
        <f t="shared" si="188"/>
        <v>7393.0211025957151</v>
      </c>
      <c r="M196" s="47">
        <f t="shared" si="188"/>
        <v>7138.8860021939872</v>
      </c>
      <c r="N196" s="47">
        <f t="shared" si="188"/>
        <v>7353.0525822598065</v>
      </c>
    </row>
    <row r="197" spans="1:14" outlineLevel="1">
      <c r="A197" s="4" t="s">
        <v>46</v>
      </c>
      <c r="C197" s="37"/>
      <c r="D197" s="47">
        <f>D161</f>
        <v>10920.698924731183</v>
      </c>
      <c r="E197" s="47">
        <f>E161</f>
        <v>10164.650537634408</v>
      </c>
      <c r="F197" s="47">
        <f t="shared" ref="F197:G197" si="189">F161</f>
        <v>9635.4166666666661</v>
      </c>
      <c r="G197" s="47">
        <f t="shared" si="189"/>
        <v>9264.9529569892475</v>
      </c>
      <c r="H197" s="47">
        <f>H195*H47</f>
        <v>6400</v>
      </c>
      <c r="I197" s="47">
        <f>I195*I47</f>
        <v>6515.8282426075275</v>
      </c>
      <c r="J197" s="47">
        <f t="shared" ref="J197:N197" si="190">J195*J47</f>
        <v>6650.3656839717733</v>
      </c>
      <c r="K197" s="47">
        <f t="shared" si="190"/>
        <v>6714.0188366666671</v>
      </c>
      <c r="L197" s="47">
        <f t="shared" si="190"/>
        <v>6806.7531475072583</v>
      </c>
      <c r="M197" s="47">
        <f t="shared" si="190"/>
        <v>6924.0067385249495</v>
      </c>
      <c r="N197" s="47">
        <f t="shared" si="190"/>
        <v>6966.9825912587567</v>
      </c>
    </row>
    <row r="198" spans="1:14" outlineLevel="1">
      <c r="A198" s="16" t="s">
        <v>47</v>
      </c>
      <c r="B198" s="16"/>
      <c r="C198" s="44"/>
      <c r="D198" s="46">
        <f>D137</f>
        <v>25481.630824372758</v>
      </c>
      <c r="E198" s="46">
        <f>E195+E196-E197</f>
        <v>23717.517921146951</v>
      </c>
      <c r="F198" s="46">
        <f t="shared" ref="F198:G198" si="191">F195+F196-F197</f>
        <v>22482.638888888891</v>
      </c>
      <c r="G198" s="46">
        <f t="shared" si="191"/>
        <v>21618.223566308247</v>
      </c>
      <c r="H198" s="46">
        <f t="shared" ref="H198" si="192">H195+H196-H197</f>
        <v>32579.141213037634</v>
      </c>
      <c r="I198" s="46">
        <f t="shared" ref="I198" si="193">I195+I196-I197</f>
        <v>33251.828419858866</v>
      </c>
      <c r="J198" s="46">
        <f t="shared" ref="J198" si="194">J195+J196-J197</f>
        <v>33570.094183333335</v>
      </c>
      <c r="K198" s="46">
        <f t="shared" ref="K198" si="195">K195+K196-K197</f>
        <v>34033.765737536291</v>
      </c>
      <c r="L198" s="46">
        <f t="shared" ref="L198" si="196">L195+L196-L197</f>
        <v>34620.033692624747</v>
      </c>
      <c r="M198" s="46">
        <f t="shared" ref="M198" si="197">M195+M196-M197</f>
        <v>34834.912956293781</v>
      </c>
      <c r="N198" s="46">
        <f t="shared" ref="N198" si="198">N195+N196-N197</f>
        <v>35220.982947294833</v>
      </c>
    </row>
    <row r="199" spans="1:14" outlineLevel="1">
      <c r="A199" s="19"/>
      <c r="B199" s="19"/>
      <c r="C199" s="20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</row>
    <row r="200" spans="1:14">
      <c r="A200" s="42"/>
      <c r="B200" s="42"/>
      <c r="C200" s="43"/>
      <c r="D200" s="42"/>
      <c r="E200" s="42"/>
      <c r="F200" s="42"/>
      <c r="G200" s="42"/>
      <c r="H200" s="32"/>
    </row>
    <row r="201" spans="1:14" ht="20">
      <c r="A201" s="10" t="s">
        <v>137</v>
      </c>
      <c r="B201" s="11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ht="17" outlineLevel="1">
      <c r="D202" s="106">
        <f t="shared" ref="D202:F202" si="199">E202-1</f>
        <v>2014</v>
      </c>
      <c r="E202" s="106">
        <f t="shared" si="199"/>
        <v>2015</v>
      </c>
      <c r="F202" s="106">
        <f t="shared" si="199"/>
        <v>2016</v>
      </c>
      <c r="G202" s="106">
        <f>H202-1</f>
        <v>2017</v>
      </c>
      <c r="H202" s="107">
        <f>$D$11</f>
        <v>2018</v>
      </c>
      <c r="I202" s="107">
        <f>H202+1</f>
        <v>2019</v>
      </c>
      <c r="J202" s="107">
        <f t="shared" ref="J202:N202" si="200">I202+1</f>
        <v>2020</v>
      </c>
      <c r="K202" s="107">
        <f t="shared" si="200"/>
        <v>2021</v>
      </c>
      <c r="L202" s="107">
        <f t="shared" si="200"/>
        <v>2022</v>
      </c>
      <c r="M202" s="107">
        <f t="shared" si="200"/>
        <v>2023</v>
      </c>
      <c r="N202" s="107">
        <f t="shared" si="200"/>
        <v>2024</v>
      </c>
    </row>
    <row r="203" spans="1:14" outlineLevel="1">
      <c r="A203" s="16"/>
      <c r="B203" s="16"/>
      <c r="C203" s="44"/>
      <c r="D203" s="49"/>
      <c r="E203" s="49"/>
      <c r="F203" s="49"/>
      <c r="G203" s="49"/>
      <c r="H203" s="49"/>
      <c r="I203" s="16"/>
      <c r="J203" s="16"/>
      <c r="K203" s="16"/>
      <c r="L203" s="16"/>
      <c r="M203" s="16"/>
      <c r="N203" s="16"/>
    </row>
    <row r="204" spans="1:14" outlineLevel="1">
      <c r="A204" s="118" t="s">
        <v>160</v>
      </c>
      <c r="B204" s="111"/>
      <c r="C204" s="114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</row>
    <row r="205" spans="1:14" outlineLevel="1">
      <c r="A205" s="19" t="s">
        <v>31</v>
      </c>
      <c r="B205" s="45"/>
      <c r="C205" s="124"/>
      <c r="D205" s="45"/>
      <c r="E205" s="45"/>
      <c r="F205" s="45"/>
      <c r="G205" s="45"/>
      <c r="H205" s="45">
        <f ca="1">H163</f>
        <v>17222.50864010107</v>
      </c>
      <c r="I205" s="45">
        <f t="shared" ref="I205:N205" ca="1" si="201">I163</f>
        <v>19473.682994012881</v>
      </c>
      <c r="J205" s="45">
        <f t="shared" ca="1" si="201"/>
        <v>20825.582017495432</v>
      </c>
      <c r="K205" s="45">
        <f t="shared" ca="1" si="201"/>
        <v>22224.751748769697</v>
      </c>
      <c r="L205" s="45">
        <f t="shared" ca="1" si="201"/>
        <v>24213.54115756063</v>
      </c>
      <c r="M205" s="45">
        <f t="shared" ca="1" si="201"/>
        <v>25699.921563756863</v>
      </c>
      <c r="N205" s="45">
        <f t="shared" ca="1" si="201"/>
        <v>27732.824563497888</v>
      </c>
    </row>
    <row r="206" spans="1:14" outlineLevel="1">
      <c r="A206" s="19" t="s">
        <v>157</v>
      </c>
      <c r="B206" s="45"/>
      <c r="C206" s="124"/>
      <c r="D206" s="45"/>
      <c r="E206" s="45"/>
      <c r="F206" s="45"/>
      <c r="G206" s="45"/>
      <c r="H206" s="45">
        <f>H168</f>
        <v>-6979.1412130376348</v>
      </c>
      <c r="I206" s="45">
        <f t="shared" ref="I206:N206" si="202">I168</f>
        <v>-7188.5154494287644</v>
      </c>
      <c r="J206" s="45">
        <f t="shared" si="202"/>
        <v>-6968.6314474462379</v>
      </c>
      <c r="K206" s="45">
        <f t="shared" si="202"/>
        <v>-7177.6903908696258</v>
      </c>
      <c r="L206" s="45">
        <f t="shared" si="202"/>
        <v>-7393.0211025957151</v>
      </c>
      <c r="M206" s="45">
        <f t="shared" si="202"/>
        <v>-7138.8860021939872</v>
      </c>
      <c r="N206" s="45">
        <f t="shared" si="202"/>
        <v>-7353.0525822598065</v>
      </c>
    </row>
    <row r="207" spans="1:14" outlineLevel="1">
      <c r="A207" s="19" t="s">
        <v>217</v>
      </c>
      <c r="B207" s="45"/>
      <c r="C207" s="124"/>
      <c r="D207" s="45"/>
      <c r="E207" s="45"/>
      <c r="F207" s="45"/>
      <c r="G207" s="45"/>
      <c r="H207" s="45">
        <f>-H254</f>
        <v>-10000</v>
      </c>
      <c r="I207" s="45">
        <f t="shared" ref="I207:N207" ca="1" si="203">-I254</f>
        <v>-10000</v>
      </c>
      <c r="J207" s="45">
        <f t="shared" ca="1" si="203"/>
        <v>-10000</v>
      </c>
      <c r="K207" s="45">
        <f t="shared" ca="1" si="203"/>
        <v>-10000</v>
      </c>
      <c r="L207" s="45">
        <f t="shared" ca="1" si="203"/>
        <v>-32408.726550201605</v>
      </c>
      <c r="M207" s="45">
        <f t="shared" ca="1" si="203"/>
        <v>-22408.726550201514</v>
      </c>
      <c r="N207" s="45">
        <f t="shared" ca="1" si="203"/>
        <v>-11250</v>
      </c>
    </row>
    <row r="208" spans="1:14" outlineLevel="1">
      <c r="A208" s="19" t="s">
        <v>159</v>
      </c>
      <c r="B208" s="45"/>
      <c r="C208" s="124"/>
      <c r="D208" s="45"/>
      <c r="E208" s="45"/>
      <c r="F208" s="45"/>
      <c r="G208" s="45"/>
      <c r="H208" s="151"/>
      <c r="I208" s="151"/>
      <c r="J208" s="151"/>
      <c r="K208" s="151"/>
      <c r="L208" s="151"/>
      <c r="M208" s="151"/>
      <c r="N208" s="151"/>
    </row>
    <row r="209" spans="1:14" outlineLevel="1">
      <c r="A209" s="17" t="s">
        <v>161</v>
      </c>
      <c r="B209" s="30"/>
      <c r="C209" s="126"/>
      <c r="D209" s="30"/>
      <c r="E209" s="30"/>
      <c r="F209" s="30"/>
      <c r="G209" s="30"/>
      <c r="H209" s="30">
        <f ca="1">SUM(H205:H208)</f>
        <v>243.36742706343648</v>
      </c>
      <c r="I209" s="30">
        <f t="shared" ref="I209:N209" ca="1" si="204">SUM(I205:I208)</f>
        <v>2285.1675445841174</v>
      </c>
      <c r="J209" s="30">
        <f t="shared" ca="1" si="204"/>
        <v>3856.9505700491936</v>
      </c>
      <c r="K209" s="30">
        <f t="shared" ca="1" si="204"/>
        <v>5047.061357900071</v>
      </c>
      <c r="L209" s="30">
        <f t="shared" ca="1" si="204"/>
        <v>-15588.206495236689</v>
      </c>
      <c r="M209" s="30">
        <f t="shared" ca="1" si="204"/>
        <v>-3847.6909886386384</v>
      </c>
      <c r="N209" s="30">
        <f t="shared" ca="1" si="204"/>
        <v>9129.7719812380819</v>
      </c>
    </row>
    <row r="210" spans="1:14" outlineLevel="1">
      <c r="A210" s="22"/>
      <c r="B210" s="25"/>
      <c r="C210" s="1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</row>
    <row r="211" spans="1:14" outlineLevel="1">
      <c r="A211" s="19" t="s">
        <v>38</v>
      </c>
      <c r="B211" s="45"/>
      <c r="C211" s="124"/>
      <c r="D211" s="45"/>
      <c r="E211" s="45"/>
      <c r="F211" s="45"/>
      <c r="G211" s="45"/>
      <c r="H211" s="45">
        <f ca="1">H179</f>
        <v>9999.9999999999854</v>
      </c>
      <c r="I211" s="45">
        <f t="shared" ref="I211:N211" ca="1" si="205">I179</f>
        <v>10000</v>
      </c>
      <c r="J211" s="45">
        <f t="shared" ca="1" si="205"/>
        <v>10000</v>
      </c>
      <c r="K211" s="45">
        <f t="shared" ca="1" si="205"/>
        <v>10000</v>
      </c>
      <c r="L211" s="45">
        <f t="shared" ca="1" si="205"/>
        <v>10000.000000000164</v>
      </c>
      <c r="M211" s="45">
        <f t="shared" ca="1" si="205"/>
        <v>10000.000000000317</v>
      </c>
      <c r="N211" s="45">
        <f t="shared" ca="1" si="205"/>
        <v>10000.000000043045</v>
      </c>
    </row>
    <row r="212" spans="1:14" outlineLevel="1">
      <c r="A212" s="19" t="s">
        <v>162</v>
      </c>
      <c r="B212" s="45"/>
      <c r="C212" s="124"/>
      <c r="D212" s="45"/>
      <c r="E212" s="45"/>
      <c r="F212" s="45"/>
      <c r="G212" s="45"/>
      <c r="H212" s="45">
        <f ca="1">H209</f>
        <v>243.36742706343648</v>
      </c>
      <c r="I212" s="45">
        <f t="shared" ref="I212:N212" ca="1" si="206">I209</f>
        <v>2285.1675445841174</v>
      </c>
      <c r="J212" s="45">
        <f t="shared" ca="1" si="206"/>
        <v>3856.9505700491936</v>
      </c>
      <c r="K212" s="45">
        <f t="shared" ca="1" si="206"/>
        <v>5047.061357900071</v>
      </c>
      <c r="L212" s="45">
        <f t="shared" ca="1" si="206"/>
        <v>-15588.206495236689</v>
      </c>
      <c r="M212" s="45">
        <f t="shared" ca="1" si="206"/>
        <v>-3847.6909886386384</v>
      </c>
      <c r="N212" s="45">
        <f t="shared" ca="1" si="206"/>
        <v>9129.7719812380819</v>
      </c>
    </row>
    <row r="213" spans="1:14" outlineLevel="1">
      <c r="A213" s="19" t="s">
        <v>163</v>
      </c>
      <c r="B213" s="45"/>
      <c r="C213" s="124"/>
      <c r="D213" s="45"/>
      <c r="E213" s="45"/>
      <c r="F213" s="45"/>
      <c r="G213" s="45"/>
      <c r="H213" s="45">
        <f>-$D$23</f>
        <v>-10000</v>
      </c>
      <c r="I213" s="45">
        <f t="shared" ref="I213:N213" si="207">-$D$23</f>
        <v>-10000</v>
      </c>
      <c r="J213" s="45">
        <f t="shared" si="207"/>
        <v>-10000</v>
      </c>
      <c r="K213" s="45">
        <f t="shared" si="207"/>
        <v>-10000</v>
      </c>
      <c r="L213" s="45">
        <f t="shared" si="207"/>
        <v>-10000</v>
      </c>
      <c r="M213" s="45">
        <f t="shared" si="207"/>
        <v>-10000</v>
      </c>
      <c r="N213" s="45">
        <f t="shared" si="207"/>
        <v>-10000</v>
      </c>
    </row>
    <row r="214" spans="1:14" outlineLevel="1">
      <c r="A214" s="17" t="s">
        <v>164</v>
      </c>
      <c r="B214" s="30"/>
      <c r="C214" s="126"/>
      <c r="D214" s="30"/>
      <c r="E214" s="30"/>
      <c r="F214" s="30"/>
      <c r="G214" s="30"/>
      <c r="H214" s="30">
        <f ca="1">SUM(H211:H213)</f>
        <v>243.36742706342193</v>
      </c>
      <c r="I214" s="30">
        <f t="shared" ref="I214:N214" ca="1" si="208">SUM(I211:I213)</f>
        <v>2285.1675445841174</v>
      </c>
      <c r="J214" s="30">
        <f t="shared" ca="1" si="208"/>
        <v>3856.9505700491936</v>
      </c>
      <c r="K214" s="30">
        <f t="shared" ca="1" si="208"/>
        <v>5047.061357900071</v>
      </c>
      <c r="L214" s="30">
        <f t="shared" ca="1" si="208"/>
        <v>-15588.206495236525</v>
      </c>
      <c r="M214" s="30">
        <f t="shared" ca="1" si="208"/>
        <v>-3847.6909886383219</v>
      </c>
      <c r="N214" s="30">
        <f t="shared" ca="1" si="208"/>
        <v>9129.7719812811265</v>
      </c>
    </row>
    <row r="215" spans="1:14" outlineLevel="1">
      <c r="A215" s="19" t="s">
        <v>165</v>
      </c>
      <c r="B215" s="45"/>
      <c r="C215" s="124"/>
      <c r="D215" s="45"/>
      <c r="E215" s="45"/>
      <c r="F215" s="45"/>
      <c r="G215" s="45"/>
      <c r="H215" s="45">
        <f ca="1">-H223</f>
        <v>-243.36742706342193</v>
      </c>
      <c r="I215" s="45">
        <f t="shared" ref="I215:N215" ca="1" si="209">-I223</f>
        <v>-2285.1675445841174</v>
      </c>
      <c r="J215" s="45">
        <f t="shared" ca="1" si="209"/>
        <v>-3721.4650283524606</v>
      </c>
      <c r="K215" s="45">
        <f t="shared" ca="1" si="209"/>
        <v>0</v>
      </c>
      <c r="L215" s="45">
        <f t="shared" ca="1" si="209"/>
        <v>0</v>
      </c>
      <c r="M215" s="45">
        <f t="shared" ca="1" si="209"/>
        <v>0</v>
      </c>
      <c r="N215" s="45">
        <f t="shared" ca="1" si="209"/>
        <v>-9129.7719810862836</v>
      </c>
    </row>
    <row r="216" spans="1:14" outlineLevel="1">
      <c r="A216" s="17" t="s">
        <v>166</v>
      </c>
      <c r="B216" s="30"/>
      <c r="C216" s="126"/>
      <c r="D216" s="30"/>
      <c r="E216" s="30"/>
      <c r="F216" s="30"/>
      <c r="G216" s="30"/>
      <c r="H216" s="30">
        <f ca="1">SUM(H214:H215)</f>
        <v>0</v>
      </c>
      <c r="I216" s="30">
        <f t="shared" ref="I216:N216" ca="1" si="210">SUM(I214:I215)</f>
        <v>0</v>
      </c>
      <c r="J216" s="30">
        <f t="shared" ca="1" si="210"/>
        <v>135.48554169673298</v>
      </c>
      <c r="K216" s="30">
        <f t="shared" ca="1" si="210"/>
        <v>5047.061357900071</v>
      </c>
      <c r="L216" s="30">
        <f t="shared" ca="1" si="210"/>
        <v>-15588.206495236525</v>
      </c>
      <c r="M216" s="30">
        <f t="shared" ca="1" si="210"/>
        <v>-3847.6909886383219</v>
      </c>
      <c r="N216" s="30">
        <f t="shared" ca="1" si="210"/>
        <v>1.9484286895021796E-7</v>
      </c>
    </row>
    <row r="217" spans="1:14" outlineLevel="1">
      <c r="A217" s="22"/>
      <c r="B217" s="25"/>
      <c r="C217" s="1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</row>
    <row r="218" spans="1:14" outlineLevel="1">
      <c r="A218" s="19" t="s">
        <v>177</v>
      </c>
      <c r="B218" s="25"/>
      <c r="C218" s="125"/>
      <c r="D218" s="25"/>
      <c r="E218" s="25"/>
      <c r="F218" s="25"/>
      <c r="G218" s="25"/>
      <c r="H218" s="45">
        <f ca="1">H255</f>
        <v>0</v>
      </c>
      <c r="I218" s="45">
        <f t="shared" ref="I218:N218" ca="1" si="211">I255</f>
        <v>0</v>
      </c>
      <c r="J218" s="45">
        <f t="shared" ca="1" si="211"/>
        <v>135.4855416967257</v>
      </c>
      <c r="K218" s="45">
        <f t="shared" ca="1" si="211"/>
        <v>5047.0613579000528</v>
      </c>
      <c r="L218" s="45">
        <f t="shared" ca="1" si="211"/>
        <v>0</v>
      </c>
      <c r="M218" s="45">
        <f t="shared" ca="1" si="211"/>
        <v>0</v>
      </c>
      <c r="N218" s="45">
        <f t="shared" ca="1" si="211"/>
        <v>0</v>
      </c>
    </row>
    <row r="219" spans="1:14" outlineLevel="1">
      <c r="A219" s="19"/>
      <c r="B219" s="45"/>
      <c r="C219" s="124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</row>
    <row r="220" spans="1:14" s="33" customFormat="1" outlineLevel="1">
      <c r="A220" s="118" t="str">
        <f>A53</f>
        <v>Line of Credit</v>
      </c>
      <c r="B220" s="111"/>
      <c r="C220" s="114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</row>
    <row r="221" spans="1:14" s="33" customFormat="1" outlineLevel="1">
      <c r="A221" s="47" t="s">
        <v>91</v>
      </c>
      <c r="B221" s="47"/>
      <c r="C221" s="201"/>
      <c r="D221" s="47"/>
      <c r="E221" s="47"/>
      <c r="F221" s="47"/>
      <c r="G221" s="47"/>
      <c r="H221" s="47">
        <f>G224</f>
        <v>6250</v>
      </c>
      <c r="I221" s="47">
        <f t="shared" ref="I221:N221" ca="1" si="212">H224</f>
        <v>6006.6325729365781</v>
      </c>
      <c r="J221" s="47">
        <f t="shared" ca="1" si="212"/>
        <v>3721.4650283524606</v>
      </c>
      <c r="K221" s="47">
        <f t="shared" ca="1" si="212"/>
        <v>0</v>
      </c>
      <c r="L221" s="47">
        <f t="shared" ca="1" si="212"/>
        <v>1.8189894035458565E-11</v>
      </c>
      <c r="M221" s="47">
        <f t="shared" ca="1" si="212"/>
        <v>15588.206495236591</v>
      </c>
      <c r="N221" s="47">
        <f t="shared" ca="1" si="212"/>
        <v>19435.897483888646</v>
      </c>
    </row>
    <row r="222" spans="1:14" s="33" customFormat="1" outlineLevel="1">
      <c r="A222" s="47" t="s">
        <v>138</v>
      </c>
      <c r="B222" s="47"/>
      <c r="C222" s="201"/>
      <c r="D222" s="47"/>
      <c r="E222" s="47"/>
      <c r="F222" s="47"/>
      <c r="G222" s="47"/>
      <c r="H222" s="47">
        <f ca="1">IF((H179+H163+H168+H172+H173+H174+H175)&lt;=$D$23,-(H179+H163+H168+H172+H173+H174+H175)+$D$23,0)</f>
        <v>0</v>
      </c>
      <c r="I222" s="47">
        <f ca="1">IF((I179+I163+I168+I172+I173+I174+I175)&lt;=$D$23,-(I179+I163+I168+I172+I173+I174+I175)+$D$23,0)</f>
        <v>0</v>
      </c>
      <c r="J222" s="47">
        <f t="shared" ref="J222:N222" ca="1" si="213">IF((J179+J163+J168+J172+J173+J174+J175)&lt;=$D$23,-(J179+J163+J168+J172+J173+J174+J175)+$D$23,0)</f>
        <v>-7.2759576141834259E-12</v>
      </c>
      <c r="K222" s="47">
        <f t="shared" ca="1" si="213"/>
        <v>-1.8189894035458565E-11</v>
      </c>
      <c r="L222" s="47">
        <f t="shared" ca="1" si="213"/>
        <v>15588.206495236525</v>
      </c>
      <c r="M222" s="47">
        <f t="shared" ca="1" si="213"/>
        <v>3847.6909886383255</v>
      </c>
      <c r="N222" s="47">
        <f t="shared" ca="1" si="213"/>
        <v>0</v>
      </c>
    </row>
    <row r="223" spans="1:14" s="33" customFormat="1" outlineLevel="1">
      <c r="A223" s="47" t="s">
        <v>139</v>
      </c>
      <c r="B223" s="47"/>
      <c r="C223" s="201"/>
      <c r="D223" s="47"/>
      <c r="E223" s="47"/>
      <c r="F223" s="47"/>
      <c r="G223" s="47"/>
      <c r="H223" s="47">
        <f ca="1">IF(H214&gt;0,IF(H221&gt;0,MIN(H221,H214),0),0)</f>
        <v>243.36742706342193</v>
      </c>
      <c r="I223" s="47">
        <f ca="1">IF(I214&gt;0,IF(I221&gt;0,MIN(I221,I214),0),0)</f>
        <v>2285.1675445841174</v>
      </c>
      <c r="J223" s="47">
        <f t="shared" ref="J223:N223" ca="1" si="214">IF(J214&gt;0,IF(J221&gt;0,MIN(J221,J214),0),0)</f>
        <v>3721.4650283524606</v>
      </c>
      <c r="K223" s="47">
        <f t="shared" ca="1" si="214"/>
        <v>0</v>
      </c>
      <c r="L223" s="47">
        <f t="shared" ca="1" si="214"/>
        <v>0</v>
      </c>
      <c r="M223" s="47">
        <f t="shared" ca="1" si="214"/>
        <v>0</v>
      </c>
      <c r="N223" s="47">
        <f t="shared" ca="1" si="214"/>
        <v>9129.7719812811265</v>
      </c>
    </row>
    <row r="224" spans="1:14" s="33" customFormat="1" outlineLevel="1">
      <c r="A224" s="46" t="s">
        <v>92</v>
      </c>
      <c r="B224" s="46"/>
      <c r="C224" s="202"/>
      <c r="D224" s="46"/>
      <c r="E224" s="46"/>
      <c r="F224" s="46"/>
      <c r="G224" s="46">
        <f>C53</f>
        <v>6250</v>
      </c>
      <c r="H224" s="46">
        <f ca="1">H221+H222-H223</f>
        <v>6006.6325729365781</v>
      </c>
      <c r="I224" s="46">
        <f t="shared" ref="I224:N224" ca="1" si="215">I221+I222-I223</f>
        <v>3721.4650283524606</v>
      </c>
      <c r="J224" s="46">
        <f t="shared" ca="1" si="215"/>
        <v>-7.2759576141834259E-12</v>
      </c>
      <c r="K224" s="46">
        <f t="shared" ca="1" si="215"/>
        <v>-1.8189894035458565E-11</v>
      </c>
      <c r="L224" s="46">
        <f t="shared" ca="1" si="215"/>
        <v>15588.206495236544</v>
      </c>
      <c r="M224" s="46">
        <f t="shared" ca="1" si="215"/>
        <v>19435.897483874916</v>
      </c>
      <c r="N224" s="46">
        <f t="shared" ca="1" si="215"/>
        <v>10306.12550260752</v>
      </c>
    </row>
    <row r="225" spans="1:14" s="33" customFormat="1" outlineLevel="1">
      <c r="A225" s="47"/>
      <c r="B225" s="47"/>
      <c r="C225" s="201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</row>
    <row r="226" spans="1:14" s="33" customFormat="1" outlineLevel="1">
      <c r="A226" s="46" t="s">
        <v>140</v>
      </c>
      <c r="B226" s="46"/>
      <c r="C226" s="202"/>
      <c r="D226" s="46"/>
      <c r="E226" s="46"/>
      <c r="F226" s="46"/>
      <c r="G226" s="46"/>
      <c r="H226" s="46">
        <f ca="1">AVERAGE(G224:H224)*$F$53</f>
        <v>183.84948859404867</v>
      </c>
      <c r="I226" s="46">
        <f t="shared" ref="I226:N226" ca="1" si="216">AVERAGE(H224:I224)*$F$53</f>
        <v>145.92146401933559</v>
      </c>
      <c r="J226" s="46">
        <f t="shared" ca="1" si="216"/>
        <v>55.821975425286801</v>
      </c>
      <c r="K226" s="46">
        <f t="shared" ca="1" si="216"/>
        <v>-3.8198777474462985E-13</v>
      </c>
      <c r="L226" s="46">
        <f t="shared" ca="1" si="216"/>
        <v>233.82309742854787</v>
      </c>
      <c r="M226" s="46">
        <f t="shared" ca="1" si="216"/>
        <v>525.36155968667185</v>
      </c>
      <c r="N226" s="46">
        <f t="shared" ca="1" si="216"/>
        <v>446.13034479723655</v>
      </c>
    </row>
    <row r="227" spans="1:14" s="33" customFormat="1" outlineLevel="1">
      <c r="A227" s="15"/>
      <c r="B227" s="4"/>
      <c r="C227" s="8"/>
      <c r="D227" s="32"/>
      <c r="E227" s="32"/>
      <c r="F227" s="32"/>
      <c r="G227" s="32"/>
      <c r="H227" s="32"/>
      <c r="I227" s="4"/>
      <c r="J227" s="4"/>
      <c r="K227" s="4"/>
      <c r="L227" s="4"/>
      <c r="M227" s="4"/>
      <c r="N227" s="4"/>
    </row>
    <row r="228" spans="1:14" s="33" customFormat="1" outlineLevel="1">
      <c r="A228" s="118" t="str">
        <f>A54</f>
        <v>Term Loan 1</v>
      </c>
      <c r="B228" s="111"/>
      <c r="C228" s="114" t="str">
        <f ca="1">IF(ABS(SUM(H230:N231)-G232)&gt;0.01,"ERROR","OK")</f>
        <v>OK</v>
      </c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</row>
    <row r="229" spans="1:14" s="33" customFormat="1" outlineLevel="1">
      <c r="A229" s="47" t="s">
        <v>91</v>
      </c>
      <c r="B229" s="47"/>
      <c r="C229" s="201"/>
      <c r="D229" s="47"/>
      <c r="E229" s="47"/>
      <c r="F229" s="47"/>
      <c r="G229" s="47"/>
      <c r="H229" s="47">
        <f>G232</f>
        <v>50000</v>
      </c>
      <c r="I229" s="47">
        <f t="shared" ref="I229:N229" ca="1" si="217">H232</f>
        <v>45000</v>
      </c>
      <c r="J229" s="47">
        <f t="shared" ca="1" si="217"/>
        <v>40000</v>
      </c>
      <c r="K229" s="47">
        <f t="shared" ca="1" si="217"/>
        <v>34932.257229151641</v>
      </c>
      <c r="L229" s="47">
        <f t="shared" ca="1" si="217"/>
        <v>27408.726550201616</v>
      </c>
      <c r="M229" s="47">
        <f t="shared" ca="1" si="217"/>
        <v>0</v>
      </c>
      <c r="N229" s="47">
        <f t="shared" ca="1" si="217"/>
        <v>0</v>
      </c>
    </row>
    <row r="230" spans="1:14" s="33" customFormat="1" outlineLevel="1">
      <c r="A230" s="47" t="s">
        <v>142</v>
      </c>
      <c r="B230" s="47"/>
      <c r="C230" s="201"/>
      <c r="D230" s="47"/>
      <c r="E230" s="47"/>
      <c r="F230" s="47"/>
      <c r="G230" s="47"/>
      <c r="H230" s="47">
        <f>MIN($G$232*H54,H229)</f>
        <v>5000</v>
      </c>
      <c r="I230" s="47">
        <f t="shared" ref="I230:N230" ca="1" si="218">MIN($G$232*I54,I229)</f>
        <v>5000</v>
      </c>
      <c r="J230" s="47">
        <f t="shared" ca="1" si="218"/>
        <v>5000</v>
      </c>
      <c r="K230" s="47">
        <f t="shared" ca="1" si="218"/>
        <v>5000</v>
      </c>
      <c r="L230" s="47">
        <f t="shared" ca="1" si="218"/>
        <v>27408.726550201616</v>
      </c>
      <c r="M230" s="47">
        <f t="shared" ca="1" si="218"/>
        <v>0</v>
      </c>
      <c r="N230" s="47">
        <f t="shared" ca="1" si="218"/>
        <v>0</v>
      </c>
    </row>
    <row r="231" spans="1:14" s="33" customFormat="1" outlineLevel="1">
      <c r="A231" s="47" t="s">
        <v>143</v>
      </c>
      <c r="B231" s="47"/>
      <c r="C231" s="203">
        <f>$G$54</f>
        <v>0.5</v>
      </c>
      <c r="D231" s="47"/>
      <c r="E231" s="47"/>
      <c r="F231" s="47"/>
      <c r="G231" s="47"/>
      <c r="H231" s="47">
        <f ca="1">IF(H$216&gt;0,IF(H229-H230&gt;0,MIN(H$216*$C$231,H229-H230),0),0)</f>
        <v>0</v>
      </c>
      <c r="I231" s="47">
        <f t="shared" ref="I231:N231" ca="1" si="219">IF(I$216&gt;0,IF(I229-I230&gt;0,MIN(I$216*$C$231,I229-I230),0),0)</f>
        <v>0</v>
      </c>
      <c r="J231" s="47">
        <f t="shared" ca="1" si="219"/>
        <v>67.74277084836649</v>
      </c>
      <c r="K231" s="47">
        <f t="shared" ca="1" si="219"/>
        <v>2523.5306789500355</v>
      </c>
      <c r="L231" s="47">
        <f t="shared" ca="1" si="219"/>
        <v>0</v>
      </c>
      <c r="M231" s="47">
        <f t="shared" ca="1" si="219"/>
        <v>0</v>
      </c>
      <c r="N231" s="47">
        <f t="shared" ca="1" si="219"/>
        <v>0</v>
      </c>
    </row>
    <row r="232" spans="1:14" s="33" customFormat="1" outlineLevel="1">
      <c r="A232" s="46" t="s">
        <v>92</v>
      </c>
      <c r="B232" s="46"/>
      <c r="C232" s="202"/>
      <c r="D232" s="46"/>
      <c r="E232" s="46"/>
      <c r="F232" s="46"/>
      <c r="G232" s="46">
        <f>C54</f>
        <v>50000</v>
      </c>
      <c r="H232" s="46">
        <f ca="1">H229-H230-H231</f>
        <v>45000</v>
      </c>
      <c r="I232" s="46">
        <f t="shared" ref="I232:N232" ca="1" si="220">I229-I230-I231</f>
        <v>40000</v>
      </c>
      <c r="J232" s="46">
        <f t="shared" ca="1" si="220"/>
        <v>34932.257229151634</v>
      </c>
      <c r="K232" s="46">
        <f t="shared" ca="1" si="220"/>
        <v>27408.726550201605</v>
      </c>
      <c r="L232" s="46">
        <f t="shared" ca="1" si="220"/>
        <v>0</v>
      </c>
      <c r="M232" s="46">
        <f t="shared" ca="1" si="220"/>
        <v>0</v>
      </c>
      <c r="N232" s="46">
        <f t="shared" ca="1" si="220"/>
        <v>0</v>
      </c>
    </row>
    <row r="233" spans="1:14" s="33" customFormat="1" outlineLevel="1">
      <c r="A233" s="47"/>
      <c r="B233" s="47"/>
      <c r="C233" s="201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</row>
    <row r="234" spans="1:14" s="33" customFormat="1" outlineLevel="1">
      <c r="A234" s="47" t="s">
        <v>144</v>
      </c>
      <c r="B234" s="47"/>
      <c r="C234" s="201"/>
      <c r="D234" s="47"/>
      <c r="E234" s="47"/>
      <c r="F234" s="47"/>
      <c r="G234" s="47"/>
      <c r="H234" s="47">
        <f ca="1">AVERAGE(G232:H232)*$F$54</f>
        <v>2375</v>
      </c>
      <c r="I234" s="47">
        <f t="shared" ref="I234:N234" ca="1" si="221">AVERAGE(H232:I232)*$F$54</f>
        <v>2125</v>
      </c>
      <c r="J234" s="47">
        <f t="shared" ca="1" si="221"/>
        <v>1873.3064307287912</v>
      </c>
      <c r="K234" s="47">
        <f t="shared" ca="1" si="221"/>
        <v>1558.5245944838309</v>
      </c>
      <c r="L234" s="47">
        <f t="shared" ca="1" si="221"/>
        <v>685.21816375504022</v>
      </c>
      <c r="M234" s="47">
        <f t="shared" ca="1" si="221"/>
        <v>0</v>
      </c>
      <c r="N234" s="47">
        <f t="shared" ca="1" si="221"/>
        <v>0</v>
      </c>
    </row>
    <row r="235" spans="1:14" s="33" customFormat="1" outlineLevel="1">
      <c r="A235" s="15"/>
      <c r="B235" s="4"/>
      <c r="C235" s="8"/>
      <c r="D235" s="32"/>
      <c r="E235" s="32"/>
      <c r="F235" s="32"/>
      <c r="G235" s="32"/>
      <c r="H235" s="32"/>
      <c r="I235" s="4"/>
      <c r="J235" s="4"/>
      <c r="K235" s="4"/>
      <c r="L235" s="4"/>
      <c r="M235" s="4"/>
      <c r="N235" s="4"/>
    </row>
    <row r="236" spans="1:14" s="33" customFormat="1" outlineLevel="1">
      <c r="A236" s="118" t="str">
        <f>A55</f>
        <v>Term Loan 2</v>
      </c>
      <c r="B236" s="111"/>
      <c r="C236" s="114" t="str">
        <f ca="1">IF(ABS(SUM(H238:N239)-G240)&gt;0.01,"ERROR","OK")</f>
        <v>OK</v>
      </c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</row>
    <row r="237" spans="1:14" s="33" customFormat="1" outlineLevel="1">
      <c r="A237" s="47" t="s">
        <v>91</v>
      </c>
      <c r="B237" s="47"/>
      <c r="C237" s="201"/>
      <c r="D237" s="47"/>
      <c r="E237" s="47"/>
      <c r="F237" s="47"/>
      <c r="G237" s="47"/>
      <c r="H237" s="47">
        <f>G240</f>
        <v>50000</v>
      </c>
      <c r="I237" s="47">
        <f t="shared" ref="I237:N237" ca="1" si="222">H240</f>
        <v>45000</v>
      </c>
      <c r="J237" s="47">
        <f t="shared" ca="1" si="222"/>
        <v>40000</v>
      </c>
      <c r="K237" s="47">
        <f t="shared" ca="1" si="222"/>
        <v>34932.257229151641</v>
      </c>
      <c r="L237" s="47">
        <f t="shared" ca="1" si="222"/>
        <v>27408.726550201616</v>
      </c>
      <c r="M237" s="47">
        <f t="shared" ca="1" si="222"/>
        <v>22408.726550201605</v>
      </c>
      <c r="N237" s="47">
        <f t="shared" ca="1" si="222"/>
        <v>0</v>
      </c>
    </row>
    <row r="238" spans="1:14" s="33" customFormat="1" outlineLevel="1">
      <c r="A238" s="47" t="s">
        <v>142</v>
      </c>
      <c r="B238" s="47"/>
      <c r="C238" s="201"/>
      <c r="D238" s="47"/>
      <c r="E238" s="47"/>
      <c r="F238" s="47"/>
      <c r="G238" s="47"/>
      <c r="H238" s="47">
        <f>MIN($G$240*H55,H237)</f>
        <v>5000</v>
      </c>
      <c r="I238" s="47">
        <f t="shared" ref="I238:N238" ca="1" si="223">MIN($G$240*I55,I237)</f>
        <v>5000</v>
      </c>
      <c r="J238" s="47">
        <f t="shared" ca="1" si="223"/>
        <v>5000</v>
      </c>
      <c r="K238" s="47">
        <f t="shared" ca="1" si="223"/>
        <v>5000</v>
      </c>
      <c r="L238" s="47">
        <f t="shared" ca="1" si="223"/>
        <v>5000</v>
      </c>
      <c r="M238" s="47">
        <f t="shared" ca="1" si="223"/>
        <v>22408.726550201605</v>
      </c>
      <c r="N238" s="47">
        <f t="shared" ca="1" si="223"/>
        <v>0</v>
      </c>
    </row>
    <row r="239" spans="1:14" s="33" customFormat="1" outlineLevel="1">
      <c r="A239" s="47" t="s">
        <v>143</v>
      </c>
      <c r="B239" s="47"/>
      <c r="C239" s="203">
        <f>$G$55</f>
        <v>0.5</v>
      </c>
      <c r="D239" s="47"/>
      <c r="E239" s="47"/>
      <c r="F239" s="47"/>
      <c r="G239" s="47"/>
      <c r="H239" s="47">
        <f ca="1">IF(H$216&gt;0,IF(H237-H238&gt;0,MIN(H$216*$C$239,H237-H238),0),0)</f>
        <v>0</v>
      </c>
      <c r="I239" s="47">
        <f t="shared" ref="I239:N239" ca="1" si="224">IF(I$216&gt;0,IF(I237-I238&gt;0,MIN(I$216*$C$239,I237-I238),0),0)</f>
        <v>0</v>
      </c>
      <c r="J239" s="47">
        <f t="shared" ca="1" si="224"/>
        <v>67.74277084836649</v>
      </c>
      <c r="K239" s="47">
        <f t="shared" ca="1" si="224"/>
        <v>2523.5306789500355</v>
      </c>
      <c r="L239" s="47">
        <f t="shared" ca="1" si="224"/>
        <v>0</v>
      </c>
      <c r="M239" s="47">
        <f t="shared" ca="1" si="224"/>
        <v>0</v>
      </c>
      <c r="N239" s="47">
        <f t="shared" ca="1" si="224"/>
        <v>0</v>
      </c>
    </row>
    <row r="240" spans="1:14" s="33" customFormat="1" outlineLevel="1">
      <c r="A240" s="46" t="s">
        <v>92</v>
      </c>
      <c r="B240" s="46"/>
      <c r="C240" s="202"/>
      <c r="D240" s="46"/>
      <c r="E240" s="46"/>
      <c r="F240" s="46"/>
      <c r="G240" s="46">
        <f>C55</f>
        <v>50000</v>
      </c>
      <c r="H240" s="46">
        <f ca="1">H237-H238-H239</f>
        <v>45000</v>
      </c>
      <c r="I240" s="46">
        <f t="shared" ref="I240:N240" ca="1" si="225">I237-I238-I239</f>
        <v>40000</v>
      </c>
      <c r="J240" s="46">
        <f t="shared" ca="1" si="225"/>
        <v>34932.257229151634</v>
      </c>
      <c r="K240" s="46">
        <f t="shared" ca="1" si="225"/>
        <v>27408.726550201605</v>
      </c>
      <c r="L240" s="46">
        <f t="shared" ca="1" si="225"/>
        <v>22408.726550201616</v>
      </c>
      <c r="M240" s="46">
        <f t="shared" ca="1" si="225"/>
        <v>0</v>
      </c>
      <c r="N240" s="46">
        <f t="shared" ca="1" si="225"/>
        <v>0</v>
      </c>
    </row>
    <row r="241" spans="1:14" s="33" customFormat="1" outlineLevel="1">
      <c r="A241" s="47"/>
      <c r="B241" s="47"/>
      <c r="C241" s="201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</row>
    <row r="242" spans="1:14" s="33" customFormat="1" outlineLevel="1">
      <c r="A242" s="47" t="s">
        <v>144</v>
      </c>
      <c r="B242" s="47"/>
      <c r="C242" s="201"/>
      <c r="D242" s="47"/>
      <c r="E242" s="47"/>
      <c r="F242" s="47"/>
      <c r="G242" s="47"/>
      <c r="H242" s="47">
        <f ca="1">AVERAGE(G240:H240)*$F$55</f>
        <v>3325.0000000000005</v>
      </c>
      <c r="I242" s="47">
        <f t="shared" ref="I242:N242" ca="1" si="226">AVERAGE(H240:I240)*$F$55</f>
        <v>2975.0000000000005</v>
      </c>
      <c r="J242" s="47">
        <f t="shared" ca="1" si="226"/>
        <v>2622.6290030203077</v>
      </c>
      <c r="K242" s="47">
        <f t="shared" ca="1" si="226"/>
        <v>2181.9344322773636</v>
      </c>
      <c r="L242" s="47">
        <f t="shared" ca="1" si="226"/>
        <v>1743.6108585141128</v>
      </c>
      <c r="M242" s="47">
        <f t="shared" ca="1" si="226"/>
        <v>784.30542925705663</v>
      </c>
      <c r="N242" s="47">
        <f t="shared" ca="1" si="226"/>
        <v>0</v>
      </c>
    </row>
    <row r="243" spans="1:14" s="33" customFormat="1" outlineLevel="1">
      <c r="A243" s="15"/>
      <c r="B243" s="4"/>
      <c r="C243" s="8"/>
      <c r="D243" s="32"/>
      <c r="E243" s="32"/>
      <c r="F243" s="32"/>
      <c r="G243" s="32"/>
      <c r="H243" s="32"/>
      <c r="I243" s="4"/>
      <c r="J243" s="4"/>
      <c r="K243" s="4"/>
      <c r="L243" s="4"/>
      <c r="M243" s="4"/>
      <c r="N243" s="4"/>
    </row>
    <row r="244" spans="1:14" s="33" customFormat="1" outlineLevel="1">
      <c r="A244" s="118" t="str">
        <f>A67</f>
        <v>Sub Debt 1</v>
      </c>
      <c r="B244" s="111"/>
      <c r="C244" s="114" t="str">
        <f ca="1">IF(ABS(SUM(H246:N247)-G248)&gt;0.01,"ERROR","OK")</f>
        <v>OK</v>
      </c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</row>
    <row r="245" spans="1:14" s="33" customFormat="1" outlineLevel="1">
      <c r="A245" s="13" t="s">
        <v>91</v>
      </c>
      <c r="B245" s="13"/>
      <c r="C245" s="115"/>
      <c r="D245" s="13"/>
      <c r="E245" s="13"/>
      <c r="F245" s="13"/>
      <c r="G245" s="13"/>
      <c r="H245" s="13">
        <f>G248</f>
        <v>11250</v>
      </c>
      <c r="I245" s="13">
        <f t="shared" ref="I245:N245" ca="1" si="227">H248</f>
        <v>11250</v>
      </c>
      <c r="J245" s="13">
        <f t="shared" ca="1" si="227"/>
        <v>11250</v>
      </c>
      <c r="K245" s="13">
        <f t="shared" ca="1" si="227"/>
        <v>11250</v>
      </c>
      <c r="L245" s="13">
        <f t="shared" ca="1" si="227"/>
        <v>11250</v>
      </c>
      <c r="M245" s="13">
        <f t="shared" ca="1" si="227"/>
        <v>11250</v>
      </c>
      <c r="N245" s="13">
        <f t="shared" ca="1" si="227"/>
        <v>11250</v>
      </c>
    </row>
    <row r="246" spans="1:14" s="33" customFormat="1" outlineLevel="1">
      <c r="A246" s="13" t="s">
        <v>142</v>
      </c>
      <c r="B246" s="13"/>
      <c r="C246" s="115"/>
      <c r="D246" s="13"/>
      <c r="E246" s="13"/>
      <c r="F246" s="13"/>
      <c r="G246" s="13"/>
      <c r="H246" s="13">
        <f>MIN($G$248*H56,H245)</f>
        <v>0</v>
      </c>
      <c r="I246" s="13">
        <f t="shared" ref="I246:N246" ca="1" si="228">MIN($G$248*I56,I245)</f>
        <v>0</v>
      </c>
      <c r="J246" s="13">
        <f t="shared" ca="1" si="228"/>
        <v>0</v>
      </c>
      <c r="K246" s="13">
        <f t="shared" ca="1" si="228"/>
        <v>0</v>
      </c>
      <c r="L246" s="13">
        <f t="shared" ca="1" si="228"/>
        <v>0</v>
      </c>
      <c r="M246" s="13">
        <f t="shared" ca="1" si="228"/>
        <v>0</v>
      </c>
      <c r="N246" s="13">
        <f t="shared" ca="1" si="228"/>
        <v>11250</v>
      </c>
    </row>
    <row r="247" spans="1:14" s="33" customFormat="1" outlineLevel="1">
      <c r="A247" s="13" t="s">
        <v>143</v>
      </c>
      <c r="B247" s="13"/>
      <c r="C247" s="132">
        <f>$G$56</f>
        <v>0</v>
      </c>
      <c r="D247" s="13"/>
      <c r="E247" s="13"/>
      <c r="F247" s="13"/>
      <c r="G247" s="13"/>
      <c r="H247" s="13">
        <f ca="1">IF(H$216&gt;0,IF((H245-H246)&gt;0,MIN(H$216*$C$247,(H245-H246)),0),0)</f>
        <v>0</v>
      </c>
      <c r="I247" s="13">
        <f t="shared" ref="I247:N247" ca="1" si="229">IF(I$216&gt;0,IF((I245-I246)&gt;0,MIN(I$216*$C$247,(I245-I246)),0),0)</f>
        <v>0</v>
      </c>
      <c r="J247" s="13">
        <f t="shared" ca="1" si="229"/>
        <v>0</v>
      </c>
      <c r="K247" s="13">
        <f t="shared" ca="1" si="229"/>
        <v>0</v>
      </c>
      <c r="L247" s="13">
        <f t="shared" ca="1" si="229"/>
        <v>0</v>
      </c>
      <c r="M247" s="13">
        <f t="shared" ca="1" si="229"/>
        <v>0</v>
      </c>
      <c r="N247" s="13">
        <f t="shared" ca="1" si="229"/>
        <v>0</v>
      </c>
    </row>
    <row r="248" spans="1:14" s="33" customFormat="1" outlineLevel="1">
      <c r="A248" s="116" t="s">
        <v>92</v>
      </c>
      <c r="B248" s="116"/>
      <c r="C248" s="117"/>
      <c r="D248" s="116"/>
      <c r="E248" s="116"/>
      <c r="F248" s="116"/>
      <c r="G248" s="116">
        <f>C56</f>
        <v>11250</v>
      </c>
      <c r="H248" s="116">
        <f ca="1">H245-H246-H247</f>
        <v>11250</v>
      </c>
      <c r="I248" s="116">
        <f t="shared" ref="I248:N248" ca="1" si="230">I245-I246-I247</f>
        <v>11250</v>
      </c>
      <c r="J248" s="116">
        <f t="shared" ca="1" si="230"/>
        <v>11250</v>
      </c>
      <c r="K248" s="116">
        <f t="shared" ca="1" si="230"/>
        <v>11250</v>
      </c>
      <c r="L248" s="116">
        <f t="shared" ca="1" si="230"/>
        <v>11250</v>
      </c>
      <c r="M248" s="116">
        <f t="shared" ca="1" si="230"/>
        <v>11250</v>
      </c>
      <c r="N248" s="116">
        <f t="shared" ca="1" si="230"/>
        <v>0</v>
      </c>
    </row>
    <row r="249" spans="1:14" s="33" customFormat="1" outlineLevel="1">
      <c r="A249" s="13"/>
      <c r="B249" s="13"/>
      <c r="C249" s="11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 spans="1:14" s="33" customFormat="1" outlineLevel="1">
      <c r="A250" s="13" t="s">
        <v>144</v>
      </c>
      <c r="B250" s="13"/>
      <c r="C250" s="115"/>
      <c r="D250" s="13"/>
      <c r="E250" s="13"/>
      <c r="F250" s="13"/>
      <c r="G250" s="13"/>
      <c r="H250" s="13">
        <f ca="1">AVERAGE(G248:H248)*$F$56</f>
        <v>1350</v>
      </c>
      <c r="I250" s="13">
        <f t="shared" ref="I250:N250" ca="1" si="231">AVERAGE(H248:I248)*$F$56</f>
        <v>1350</v>
      </c>
      <c r="J250" s="13">
        <f t="shared" ca="1" si="231"/>
        <v>1350</v>
      </c>
      <c r="K250" s="13">
        <f t="shared" ca="1" si="231"/>
        <v>1350</v>
      </c>
      <c r="L250" s="13">
        <f t="shared" ca="1" si="231"/>
        <v>1350</v>
      </c>
      <c r="M250" s="13">
        <f t="shared" ca="1" si="231"/>
        <v>1350</v>
      </c>
      <c r="N250" s="13">
        <f t="shared" ca="1" si="231"/>
        <v>675</v>
      </c>
    </row>
    <row r="251" spans="1:14" s="33" customFormat="1" outlineLevel="1">
      <c r="A251" s="13"/>
      <c r="B251" s="13"/>
      <c r="C251" s="11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 spans="1:14" s="33" customFormat="1" outlineLevel="1">
      <c r="A252" s="118" t="s">
        <v>146</v>
      </c>
      <c r="B252" s="111"/>
      <c r="C252" s="114" t="str">
        <f ca="1">IF(ABS(SUM(H254:N255)-G256)&gt;0.01,"ERROR","OK")</f>
        <v>OK</v>
      </c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</row>
    <row r="253" spans="1:14" s="33" customFormat="1" outlineLevel="1">
      <c r="A253" s="13" t="s">
        <v>91</v>
      </c>
      <c r="B253" s="13"/>
      <c r="C253" s="115"/>
      <c r="D253" s="13"/>
      <c r="E253" s="13"/>
      <c r="F253" s="13"/>
      <c r="G253" s="13"/>
      <c r="H253" s="21">
        <f t="shared" ref="H253:N255" si="232">H245+H237+H229</f>
        <v>111250</v>
      </c>
      <c r="I253" s="21">
        <f t="shared" ca="1" si="232"/>
        <v>101250</v>
      </c>
      <c r="J253" s="21">
        <f t="shared" ca="1" si="232"/>
        <v>91250</v>
      </c>
      <c r="K253" s="21">
        <f t="shared" ca="1" si="232"/>
        <v>81114.514458303282</v>
      </c>
      <c r="L253" s="21">
        <f t="shared" ca="1" si="232"/>
        <v>66067.453100403232</v>
      </c>
      <c r="M253" s="21">
        <f t="shared" ca="1" si="232"/>
        <v>33658.726550201609</v>
      </c>
      <c r="N253" s="21">
        <f t="shared" ca="1" si="232"/>
        <v>11250</v>
      </c>
    </row>
    <row r="254" spans="1:14" s="33" customFormat="1" outlineLevel="1">
      <c r="A254" s="13" t="s">
        <v>142</v>
      </c>
      <c r="B254" s="13"/>
      <c r="C254" s="115"/>
      <c r="D254" s="13"/>
      <c r="E254" s="13"/>
      <c r="F254" s="13"/>
      <c r="G254" s="13"/>
      <c r="H254" s="13">
        <f t="shared" si="232"/>
        <v>10000</v>
      </c>
      <c r="I254" s="13">
        <f t="shared" ca="1" si="232"/>
        <v>10000</v>
      </c>
      <c r="J254" s="13">
        <f t="shared" ca="1" si="232"/>
        <v>10000</v>
      </c>
      <c r="K254" s="13">
        <f t="shared" ca="1" si="232"/>
        <v>10000</v>
      </c>
      <c r="L254" s="13">
        <f t="shared" ca="1" si="232"/>
        <v>32408.726550201616</v>
      </c>
      <c r="M254" s="13">
        <f t="shared" ca="1" si="232"/>
        <v>22408.726550201605</v>
      </c>
      <c r="N254" s="13">
        <f t="shared" ca="1" si="232"/>
        <v>11250</v>
      </c>
    </row>
    <row r="255" spans="1:14" s="33" customFormat="1" outlineLevel="1">
      <c r="A255" s="13" t="s">
        <v>143</v>
      </c>
      <c r="B255" s="13"/>
      <c r="C255" s="132"/>
      <c r="D255" s="13"/>
      <c r="E255" s="13"/>
      <c r="F255" s="13"/>
      <c r="G255" s="13"/>
      <c r="H255" s="13">
        <f t="shared" ca="1" si="232"/>
        <v>0</v>
      </c>
      <c r="I255" s="13">
        <f t="shared" ca="1" si="232"/>
        <v>0</v>
      </c>
      <c r="J255" s="13">
        <f t="shared" ca="1" si="232"/>
        <v>135.48554169673298</v>
      </c>
      <c r="K255" s="13">
        <f t="shared" ca="1" si="232"/>
        <v>5047.061357900071</v>
      </c>
      <c r="L255" s="13">
        <f t="shared" ca="1" si="232"/>
        <v>0</v>
      </c>
      <c r="M255" s="13">
        <f t="shared" ca="1" si="232"/>
        <v>0</v>
      </c>
      <c r="N255" s="13">
        <f t="shared" ca="1" si="232"/>
        <v>0</v>
      </c>
    </row>
    <row r="256" spans="1:14" s="33" customFormat="1" outlineLevel="1">
      <c r="A256" s="116" t="s">
        <v>92</v>
      </c>
      <c r="B256" s="116"/>
      <c r="C256" s="117"/>
      <c r="D256" s="116"/>
      <c r="E256" s="116"/>
      <c r="F256" s="116"/>
      <c r="G256" s="116">
        <f>G248+G240+G232</f>
        <v>111250</v>
      </c>
      <c r="H256" s="116">
        <f ca="1">H248+H240+H232</f>
        <v>101250</v>
      </c>
      <c r="I256" s="116">
        <f t="shared" ref="I256:N256" ca="1" si="233">I248+I240+I232</f>
        <v>91250</v>
      </c>
      <c r="J256" s="116">
        <f t="shared" ca="1" si="233"/>
        <v>81114.514458303267</v>
      </c>
      <c r="K256" s="116">
        <f t="shared" ca="1" si="233"/>
        <v>66067.453100403218</v>
      </c>
      <c r="L256" s="116">
        <f t="shared" ca="1" si="233"/>
        <v>33658.726550201616</v>
      </c>
      <c r="M256" s="116">
        <f t="shared" ca="1" si="233"/>
        <v>11250</v>
      </c>
      <c r="N256" s="116">
        <f t="shared" ca="1" si="233"/>
        <v>0</v>
      </c>
    </row>
    <row r="257" spans="1:14" s="33" customFormat="1" outlineLevel="1">
      <c r="A257" s="13"/>
      <c r="B257" s="13"/>
      <c r="C257" s="11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 spans="1:14" outlineLevel="1">
      <c r="A258" s="13" t="s">
        <v>144</v>
      </c>
      <c r="B258" s="13"/>
      <c r="C258" s="115"/>
      <c r="D258" s="13"/>
      <c r="E258" s="13"/>
      <c r="F258" s="13"/>
      <c r="G258" s="13"/>
      <c r="H258" s="13">
        <f ca="1">H226+H250+H242+H234</f>
        <v>7233.849488594049</v>
      </c>
      <c r="I258" s="13">
        <f t="shared" ref="I258:N258" ca="1" si="234">I226+I250+I242+I234</f>
        <v>6595.9214640193359</v>
      </c>
      <c r="J258" s="13">
        <f t="shared" ca="1" si="234"/>
        <v>5901.7574091743854</v>
      </c>
      <c r="K258" s="13">
        <f t="shared" ca="1" si="234"/>
        <v>5090.4590267611939</v>
      </c>
      <c r="L258" s="13">
        <f t="shared" ca="1" si="234"/>
        <v>4012.652119697701</v>
      </c>
      <c r="M258" s="13">
        <f t="shared" ca="1" si="234"/>
        <v>2659.6669889437285</v>
      </c>
      <c r="N258" s="13">
        <f t="shared" ca="1" si="234"/>
        <v>1121.1303447972366</v>
      </c>
    </row>
    <row r="259" spans="1:14" outlineLevel="1">
      <c r="A259" s="13"/>
      <c r="B259" s="13"/>
      <c r="C259" s="115"/>
      <c r="D259" s="13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1:14" s="33" customFormat="1">
      <c r="A260" s="13"/>
      <c r="B260" s="13"/>
      <c r="C260" s="115"/>
      <c r="D260" s="13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1:14" ht="20">
      <c r="A261" s="10" t="s">
        <v>93</v>
      </c>
      <c r="B261" s="11"/>
      <c r="C261" s="12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outlineLevel="1"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4" outlineLevel="1">
      <c r="A263" s="62" t="s">
        <v>108</v>
      </c>
      <c r="B263" s="62"/>
      <c r="C263" s="63"/>
      <c r="D263" s="62"/>
      <c r="E263" s="62"/>
      <c r="F263" s="62"/>
      <c r="G263" s="62"/>
      <c r="H263" s="62"/>
      <c r="I263" s="62"/>
      <c r="J263" s="62"/>
      <c r="K263" s="62"/>
      <c r="L263" s="62"/>
    </row>
    <row r="264" spans="1:14" outlineLevel="1">
      <c r="A264" s="41"/>
      <c r="B264" s="41"/>
      <c r="C264" s="67"/>
      <c r="D264" s="76"/>
      <c r="E264" s="41"/>
      <c r="F264" s="41"/>
      <c r="G264" s="41"/>
      <c r="H264" s="41"/>
      <c r="I264" s="41"/>
      <c r="J264" s="41"/>
      <c r="K264" s="41"/>
      <c r="L264" s="41"/>
    </row>
    <row r="265" spans="1:14" outlineLevel="1">
      <c r="D265" s="59" t="s">
        <v>0</v>
      </c>
      <c r="E265" s="59" t="s">
        <v>240</v>
      </c>
      <c r="F265" s="59" t="s">
        <v>68</v>
      </c>
      <c r="G265" s="59" t="s">
        <v>84</v>
      </c>
      <c r="H265" s="59" t="s">
        <v>55</v>
      </c>
      <c r="I265" s="59" t="s">
        <v>55</v>
      </c>
      <c r="J265" s="59" t="s">
        <v>55</v>
      </c>
      <c r="K265" s="59" t="s">
        <v>86</v>
      </c>
      <c r="L265" s="59" t="s">
        <v>148</v>
      </c>
    </row>
    <row r="266" spans="1:14" outlineLevel="1">
      <c r="D266" s="74"/>
      <c r="E266" s="16"/>
      <c r="F266" s="16"/>
      <c r="G266" s="81" t="s">
        <v>3</v>
      </c>
      <c r="H266" s="81" t="s">
        <v>105</v>
      </c>
      <c r="I266" s="81" t="s">
        <v>106</v>
      </c>
      <c r="J266" s="81" t="s">
        <v>107</v>
      </c>
      <c r="K266" s="16"/>
      <c r="L266" s="74"/>
    </row>
    <row r="267" spans="1:14" outlineLevel="1">
      <c r="A267" s="15" t="s">
        <v>14</v>
      </c>
      <c r="D267" s="47"/>
    </row>
    <row r="268" spans="1:14" outlineLevel="1">
      <c r="A268" s="4" t="s">
        <v>15</v>
      </c>
      <c r="C268" s="4"/>
      <c r="D268" s="47">
        <f>G133</f>
        <v>57269.263877213911</v>
      </c>
      <c r="E268" s="55">
        <f>F74</f>
        <v>0</v>
      </c>
      <c r="F268" s="33">
        <f>SUM(D268:E268)</f>
        <v>57269.263877213911</v>
      </c>
      <c r="G268" s="55">
        <f>-H63</f>
        <v>-187500</v>
      </c>
      <c r="H268" s="55">
        <f ca="1">C64+C65+C66+C67+C68</f>
        <v>163021.92099658621</v>
      </c>
      <c r="I268" s="55">
        <f ca="1">-H66-H67-H68</f>
        <v>-5990.1096049829312</v>
      </c>
      <c r="J268" s="55">
        <f>J280+J277</f>
        <v>-16801.075268817203</v>
      </c>
      <c r="K268" s="33">
        <f ca="1">SUM(G268:J268)</f>
        <v>-47269.263877213925</v>
      </c>
      <c r="L268" s="4">
        <f ca="1">K268+F268</f>
        <v>9999.9999999999854</v>
      </c>
    </row>
    <row r="269" spans="1:14" outlineLevel="1">
      <c r="A269" s="4" t="s">
        <v>16</v>
      </c>
      <c r="C269" s="4"/>
      <c r="D269" s="47">
        <f>G134</f>
        <v>3985.8030913978496</v>
      </c>
      <c r="E269" s="55">
        <f t="shared" ref="E269:E270" si="235">F75</f>
        <v>-485.80309139784958</v>
      </c>
      <c r="F269" s="33">
        <f t="shared" ref="F269:F273" si="236">SUM(D269:E269)</f>
        <v>3500</v>
      </c>
      <c r="G269" s="55"/>
      <c r="H269" s="55"/>
      <c r="I269" s="55"/>
      <c r="J269" s="55"/>
      <c r="K269" s="33">
        <f>SUM(G269:J269)</f>
        <v>0</v>
      </c>
      <c r="L269" s="4">
        <f t="shared" ref="L269:L273" si="237">K269+F269</f>
        <v>3500</v>
      </c>
    </row>
    <row r="270" spans="1:14" outlineLevel="1">
      <c r="A270" s="4" t="s">
        <v>17</v>
      </c>
      <c r="C270" s="4"/>
      <c r="D270" s="47">
        <f>G135</f>
        <v>5897.6254480286743</v>
      </c>
      <c r="E270" s="55">
        <f t="shared" si="235"/>
        <v>-1097.6254480286743</v>
      </c>
      <c r="F270" s="33">
        <f t="shared" si="236"/>
        <v>4800</v>
      </c>
      <c r="G270" s="55"/>
      <c r="H270" s="55"/>
      <c r="I270" s="55"/>
      <c r="J270" s="55"/>
      <c r="K270" s="33">
        <f>SUM(G270:J270)</f>
        <v>0</v>
      </c>
      <c r="L270" s="4">
        <f t="shared" si="237"/>
        <v>4800</v>
      </c>
    </row>
    <row r="271" spans="1:14" outlineLevel="1">
      <c r="A271" s="17" t="s">
        <v>69</v>
      </c>
      <c r="B271" s="17"/>
      <c r="C271" s="17"/>
      <c r="D271" s="30">
        <f>SUM(D268:D270)</f>
        <v>67152.692416640435</v>
      </c>
      <c r="E271" s="69"/>
      <c r="F271" s="52"/>
      <c r="G271" s="69"/>
      <c r="H271" s="69"/>
      <c r="I271" s="69"/>
      <c r="J271" s="69"/>
      <c r="K271" s="17"/>
      <c r="L271" s="17">
        <f ca="1">SUM(L268:L270)</f>
        <v>18299.999999999985</v>
      </c>
    </row>
    <row r="272" spans="1:14" outlineLevel="1">
      <c r="A272" s="4" t="s">
        <v>18</v>
      </c>
      <c r="C272" s="4"/>
      <c r="D272" s="47">
        <f t="shared" ref="D272:D273" si="238">G137</f>
        <v>21618.223566308243</v>
      </c>
      <c r="E272" s="55">
        <f>F77</f>
        <v>10381.776433691757</v>
      </c>
      <c r="F272" s="33">
        <f t="shared" si="236"/>
        <v>32000</v>
      </c>
      <c r="G272" s="55"/>
      <c r="H272" s="55"/>
      <c r="I272" s="55"/>
      <c r="J272" s="55"/>
      <c r="K272" s="33">
        <f t="shared" ref="K272:K273" si="239">SUM(G272:J272)</f>
        <v>0</v>
      </c>
      <c r="L272" s="4">
        <f t="shared" si="237"/>
        <v>32000</v>
      </c>
    </row>
    <row r="273" spans="1:12" outlineLevel="1">
      <c r="A273" s="4" t="s">
        <v>85</v>
      </c>
      <c r="C273" s="4"/>
      <c r="D273" s="47">
        <f t="shared" si="238"/>
        <v>0</v>
      </c>
      <c r="E273" s="55"/>
      <c r="F273" s="33">
        <f t="shared" si="236"/>
        <v>0</v>
      </c>
      <c r="G273" s="55">
        <f>M80</f>
        <v>109680.62411561764</v>
      </c>
      <c r="H273" s="55"/>
      <c r="I273" s="55"/>
      <c r="J273" s="55"/>
      <c r="K273" s="33">
        <f t="shared" si="239"/>
        <v>109680.62411561764</v>
      </c>
      <c r="L273" s="4">
        <f t="shared" si="237"/>
        <v>109680.62411561764</v>
      </c>
    </row>
    <row r="274" spans="1:12" ht="17" outlineLevel="1" thickBot="1">
      <c r="A274" s="34" t="s">
        <v>19</v>
      </c>
      <c r="B274" s="34"/>
      <c r="C274" s="34"/>
      <c r="D274" s="36">
        <f>SUM(D271:D273)</f>
        <v>88770.915982948674</v>
      </c>
      <c r="E274" s="70"/>
      <c r="F274" s="65"/>
      <c r="G274" s="70"/>
      <c r="H274" s="70"/>
      <c r="I274" s="70"/>
      <c r="J274" s="70"/>
      <c r="K274" s="34"/>
      <c r="L274" s="34">
        <f ca="1">SUM(L271:L273)</f>
        <v>159980.62411561763</v>
      </c>
    </row>
    <row r="275" spans="1:12" ht="17" outlineLevel="1" thickTop="1">
      <c r="A275" s="22"/>
      <c r="B275" s="22"/>
      <c r="C275" s="22"/>
      <c r="D275" s="25"/>
      <c r="E275" s="71"/>
      <c r="F275" s="66"/>
      <c r="G275" s="71"/>
      <c r="H275" s="71"/>
      <c r="I275" s="71"/>
      <c r="J275" s="71"/>
      <c r="K275" s="66"/>
      <c r="L275" s="22"/>
    </row>
    <row r="276" spans="1:12" outlineLevel="1">
      <c r="A276" s="15" t="s">
        <v>20</v>
      </c>
      <c r="B276" s="15"/>
      <c r="C276" s="15"/>
      <c r="D276" s="48"/>
      <c r="E276" s="72"/>
      <c r="F276" s="28"/>
      <c r="G276" s="72"/>
      <c r="H276" s="72"/>
      <c r="I276" s="72"/>
      <c r="J276" s="72"/>
      <c r="K276" s="28"/>
      <c r="L276" s="15"/>
    </row>
    <row r="277" spans="1:12" outlineLevel="1">
      <c r="A277" s="4" t="s">
        <v>70</v>
      </c>
      <c r="C277" s="4"/>
      <c r="D277" s="47">
        <f t="shared" ref="D277:D278" si="240">G142</f>
        <v>0</v>
      </c>
      <c r="E277" s="55"/>
      <c r="F277" s="33">
        <f t="shared" ref="F277:F278" si="241">SUM(D277:E277)</f>
        <v>0</v>
      </c>
      <c r="G277" s="55"/>
      <c r="H277" s="55">
        <f>C53</f>
        <v>6250</v>
      </c>
      <c r="I277" s="55"/>
      <c r="J277" s="55">
        <f>-D277</f>
        <v>0</v>
      </c>
      <c r="K277" s="33">
        <f t="shared" ref="K277:K278" si="242">SUM(G277:J277)</f>
        <v>6250</v>
      </c>
      <c r="L277" s="4">
        <f t="shared" ref="L277:L278" si="243">K277+F277</f>
        <v>6250</v>
      </c>
    </row>
    <row r="278" spans="1:12" outlineLevel="1">
      <c r="A278" s="4" t="s">
        <v>21</v>
      </c>
      <c r="C278" s="4"/>
      <c r="D278" s="47">
        <f t="shared" si="240"/>
        <v>2948.8127240143372</v>
      </c>
      <c r="E278" s="55"/>
      <c r="F278" s="33">
        <f t="shared" si="241"/>
        <v>2948.8127240143372</v>
      </c>
      <c r="G278" s="55"/>
      <c r="H278" s="55"/>
      <c r="I278" s="55"/>
      <c r="J278" s="55"/>
      <c r="K278" s="33">
        <f t="shared" si="242"/>
        <v>0</v>
      </c>
      <c r="L278" s="4">
        <f t="shared" si="243"/>
        <v>2948.8127240143372</v>
      </c>
    </row>
    <row r="279" spans="1:12" outlineLevel="1">
      <c r="A279" s="17" t="s">
        <v>72</v>
      </c>
      <c r="B279" s="17"/>
      <c r="C279" s="17"/>
      <c r="D279" s="30">
        <f>SUM(D277:D278)</f>
        <v>2948.8127240143372</v>
      </c>
      <c r="E279" s="69"/>
      <c r="F279" s="52"/>
      <c r="G279" s="69"/>
      <c r="H279" s="69"/>
      <c r="I279" s="69"/>
      <c r="J279" s="69"/>
      <c r="K279" s="17"/>
      <c r="L279" s="17">
        <f>SUM(L277:L278)</f>
        <v>9198.8127240143367</v>
      </c>
    </row>
    <row r="280" spans="1:12" outlineLevel="1">
      <c r="A280" s="4" t="s">
        <v>71</v>
      </c>
      <c r="C280" s="4"/>
      <c r="D280" s="47">
        <f>G145</f>
        <v>16801.075268817203</v>
      </c>
      <c r="E280" s="55"/>
      <c r="F280" s="33">
        <f t="shared" ref="F280" si="244">SUM(D280:E280)</f>
        <v>16801.075268817203</v>
      </c>
      <c r="G280" s="55"/>
      <c r="H280" s="55">
        <f>C54+C55+C56</f>
        <v>111250</v>
      </c>
      <c r="I280" s="55"/>
      <c r="J280" s="55">
        <f>-D280</f>
        <v>-16801.075268817203</v>
      </c>
      <c r="K280" s="33">
        <f>SUM(G280:J280)</f>
        <v>94448.924731182793</v>
      </c>
      <c r="L280" s="4">
        <f t="shared" ref="L280" si="245">K280+F280</f>
        <v>111250</v>
      </c>
    </row>
    <row r="281" spans="1:12" outlineLevel="1">
      <c r="A281" s="17" t="s">
        <v>22</v>
      </c>
      <c r="B281" s="17"/>
      <c r="C281" s="17"/>
      <c r="D281" s="30">
        <f>SUM(D279:D280)</f>
        <v>19749.88799283154</v>
      </c>
      <c r="E281" s="69"/>
      <c r="F281" s="52"/>
      <c r="G281" s="69"/>
      <c r="H281" s="69"/>
      <c r="I281" s="69"/>
      <c r="J281" s="69"/>
      <c r="K281" s="17"/>
      <c r="L281" s="17">
        <f>SUM(L279:L280)</f>
        <v>120448.81272401434</v>
      </c>
    </row>
    <row r="282" spans="1:12" outlineLevel="1">
      <c r="A282" s="15" t="s">
        <v>23</v>
      </c>
      <c r="B282" s="15"/>
      <c r="C282" s="15"/>
      <c r="D282" s="48"/>
      <c r="E282" s="72"/>
      <c r="F282" s="28"/>
      <c r="G282" s="72"/>
      <c r="H282" s="72"/>
      <c r="I282" s="72"/>
      <c r="J282" s="72"/>
      <c r="K282" s="28"/>
      <c r="L282" s="15"/>
    </row>
    <row r="283" spans="1:12" outlineLevel="1">
      <c r="A283" s="4" t="s">
        <v>24</v>
      </c>
      <c r="C283" s="4"/>
      <c r="D283" s="47">
        <f t="shared" ref="D283:D284" si="246">G148</f>
        <v>39202.508960573476</v>
      </c>
      <c r="E283" s="55"/>
      <c r="F283" s="33">
        <f t="shared" ref="F283:F284" si="247">SUM(D283:E283)</f>
        <v>39202.508960573476</v>
      </c>
      <c r="G283" s="55">
        <f>-F283</f>
        <v>-39202.508960573476</v>
      </c>
      <c r="H283" s="55">
        <f ca="1">C57</f>
        <v>45521.92099658621</v>
      </c>
      <c r="I283" s="55"/>
      <c r="J283" s="55"/>
      <c r="K283" s="33">
        <f t="shared" ref="K283:K284" ca="1" si="248">SUM(G283:J283)</f>
        <v>6319.4120360127345</v>
      </c>
      <c r="L283" s="4">
        <f t="shared" ref="L283:L284" ca="1" si="249">K283+F283</f>
        <v>45521.92099658621</v>
      </c>
    </row>
    <row r="284" spans="1:12" outlineLevel="1">
      <c r="A284" s="4" t="s">
        <v>25</v>
      </c>
      <c r="C284" s="4"/>
      <c r="D284" s="47">
        <f t="shared" si="246"/>
        <v>29818.519029543659</v>
      </c>
      <c r="E284" s="55"/>
      <c r="F284" s="33">
        <f t="shared" si="247"/>
        <v>29818.519029543659</v>
      </c>
      <c r="G284" s="55">
        <f>-F284</f>
        <v>-29818.519029543659</v>
      </c>
      <c r="H284" s="55"/>
      <c r="I284" s="55">
        <f ca="1">I268</f>
        <v>-5990.1096049829312</v>
      </c>
      <c r="J284" s="55"/>
      <c r="K284" s="33">
        <f t="shared" ca="1" si="248"/>
        <v>-35808.628634526591</v>
      </c>
      <c r="L284" s="4">
        <f t="shared" ca="1" si="249"/>
        <v>-5990.1096049829321</v>
      </c>
    </row>
    <row r="285" spans="1:12" outlineLevel="1">
      <c r="A285" s="38" t="s">
        <v>23</v>
      </c>
      <c r="B285" s="38"/>
      <c r="C285" s="38"/>
      <c r="D285" s="40">
        <f>SUM(D283:D284)</f>
        <v>69021.027990117131</v>
      </c>
      <c r="E285" s="73"/>
      <c r="F285" s="38"/>
      <c r="G285" s="73"/>
      <c r="H285" s="73"/>
      <c r="I285" s="73"/>
      <c r="J285" s="73"/>
      <c r="K285" s="38"/>
      <c r="L285" s="38">
        <f ca="1">SUM(L283:L284)</f>
        <v>39531.811391603274</v>
      </c>
    </row>
    <row r="286" spans="1:12" ht="17" outlineLevel="1" thickBot="1">
      <c r="A286" s="34" t="s">
        <v>26</v>
      </c>
      <c r="B286" s="34"/>
      <c r="C286" s="34"/>
      <c r="D286" s="36">
        <f>D285+D281</f>
        <v>88770.915982948674</v>
      </c>
      <c r="E286" s="70"/>
      <c r="F286" s="34"/>
      <c r="G286" s="70"/>
      <c r="H286" s="70"/>
      <c r="I286" s="70"/>
      <c r="J286" s="70"/>
      <c r="K286" s="34"/>
      <c r="L286" s="34">
        <f ca="1">L285+L281</f>
        <v>159980.6241156176</v>
      </c>
    </row>
    <row r="287" spans="1:12" ht="17" outlineLevel="1" thickTop="1"/>
    <row r="288" spans="1:12" outlineLevel="1">
      <c r="A288" s="41" t="s">
        <v>27</v>
      </c>
      <c r="B288" s="41"/>
      <c r="C288" s="67"/>
      <c r="D288" s="68">
        <f>D274-D286</f>
        <v>0</v>
      </c>
      <c r="E288" s="41"/>
      <c r="F288" s="41"/>
      <c r="G288" s="41"/>
      <c r="H288" s="41"/>
      <c r="K288" s="68"/>
      <c r="L288" s="68">
        <f ca="1">L274-L286</f>
        <v>0</v>
      </c>
    </row>
    <row r="289" spans="1:14" outlineLevel="1"/>
    <row r="291" spans="1:14" ht="20">
      <c r="A291" s="10" t="s">
        <v>230</v>
      </c>
      <c r="B291" s="11"/>
      <c r="C291" s="12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1:14" outlineLevel="1"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4" outlineLevel="1">
      <c r="A293" s="62" t="s">
        <v>167</v>
      </c>
      <c r="B293" s="62"/>
      <c r="C293" s="63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</row>
    <row r="294" spans="1:14" ht="17" outlineLevel="1">
      <c r="E294" s="128" t="s">
        <v>169</v>
      </c>
      <c r="F294" s="128">
        <f>D11</f>
        <v>2018</v>
      </c>
      <c r="G294" s="128">
        <f>F294+1</f>
        <v>2019</v>
      </c>
      <c r="H294" s="128">
        <f t="shared" ref="H294:L294" si="250">G294+1</f>
        <v>2020</v>
      </c>
      <c r="I294" s="128">
        <f t="shared" si="250"/>
        <v>2021</v>
      </c>
      <c r="J294" s="128">
        <f t="shared" si="250"/>
        <v>2022</v>
      </c>
      <c r="K294" s="128">
        <f t="shared" si="250"/>
        <v>2023</v>
      </c>
      <c r="L294" s="128">
        <f t="shared" si="250"/>
        <v>2024</v>
      </c>
      <c r="M294" s="128" t="s">
        <v>168</v>
      </c>
    </row>
    <row r="295" spans="1:14" outlineLevel="1">
      <c r="E295" s="129">
        <f>D10</f>
        <v>43190</v>
      </c>
      <c r="F295" s="129">
        <f>DATE(F294,$D$12,$D$13)</f>
        <v>43465</v>
      </c>
      <c r="G295" s="129">
        <f t="shared" ref="G295:L295" si="251">DATE(G294,$D$12,$D$13)</f>
        <v>43830</v>
      </c>
      <c r="H295" s="129">
        <f t="shared" si="251"/>
        <v>44196</v>
      </c>
      <c r="I295" s="129">
        <f t="shared" si="251"/>
        <v>44561</v>
      </c>
      <c r="J295" s="129">
        <f t="shared" si="251"/>
        <v>44926</v>
      </c>
      <c r="K295" s="129">
        <f t="shared" si="251"/>
        <v>45291</v>
      </c>
      <c r="L295" s="129">
        <f t="shared" si="251"/>
        <v>45657</v>
      </c>
      <c r="M295" s="129">
        <f>L295</f>
        <v>45657</v>
      </c>
    </row>
    <row r="296" spans="1:14" ht="17" outlineLevel="1">
      <c r="E296" s="135"/>
      <c r="F296" s="130">
        <f>YEARFRAC(E295,F295)</f>
        <v>0.75</v>
      </c>
      <c r="G296" s="130">
        <f t="shared" ref="G296:L296" si="252">YEARFRAC(F295,G295)</f>
        <v>1</v>
      </c>
      <c r="H296" s="130">
        <f t="shared" si="252"/>
        <v>1</v>
      </c>
      <c r="I296" s="130">
        <f t="shared" si="252"/>
        <v>1</v>
      </c>
      <c r="J296" s="130">
        <f t="shared" si="252"/>
        <v>1</v>
      </c>
      <c r="K296" s="130">
        <f t="shared" si="252"/>
        <v>1</v>
      </c>
      <c r="L296" s="130">
        <f t="shared" si="252"/>
        <v>1</v>
      </c>
      <c r="M296" s="131"/>
    </row>
    <row r="297" spans="1:14" outlineLevel="1">
      <c r="A297" s="15" t="s">
        <v>50</v>
      </c>
    </row>
    <row r="298" spans="1:14" outlineLevel="1">
      <c r="A298" s="4" t="s">
        <v>2</v>
      </c>
      <c r="E298" s="19"/>
      <c r="F298" s="45">
        <f>H122</f>
        <v>24369.470094086024</v>
      </c>
      <c r="G298" s="45">
        <f t="shared" ref="G298:L298" si="253">I122</f>
        <v>25386.72595430108</v>
      </c>
      <c r="H298" s="45">
        <f t="shared" si="253"/>
        <v>26354.804604309487</v>
      </c>
      <c r="I298" s="45">
        <f t="shared" si="253"/>
        <v>27454.912209692386</v>
      </c>
      <c r="J298" s="45">
        <f t="shared" si="253"/>
        <v>29089.309649154802</v>
      </c>
      <c r="K298" s="45">
        <f t="shared" si="253"/>
        <v>29788.937942036973</v>
      </c>
      <c r="L298" s="45">
        <f t="shared" si="253"/>
        <v>31102.35042972002</v>
      </c>
      <c r="M298" s="19"/>
    </row>
    <row r="299" spans="1:14" outlineLevel="1">
      <c r="A299" s="4" t="s">
        <v>170</v>
      </c>
      <c r="F299" s="4">
        <f>F298*$D$26</f>
        <v>7310.8410282258073</v>
      </c>
      <c r="G299" s="4">
        <f t="shared" ref="G299:L299" si="254">G298*$D$26</f>
        <v>7616.0177862903238</v>
      </c>
      <c r="H299" s="4">
        <f t="shared" si="254"/>
        <v>7906.441381292846</v>
      </c>
      <c r="I299" s="4">
        <f t="shared" si="254"/>
        <v>8236.4736629077161</v>
      </c>
      <c r="J299" s="4">
        <f t="shared" si="254"/>
        <v>8726.7928947464407</v>
      </c>
      <c r="K299" s="4">
        <f t="shared" si="254"/>
        <v>8936.681382611092</v>
      </c>
      <c r="L299" s="4">
        <f t="shared" si="254"/>
        <v>9330.7051289160063</v>
      </c>
    </row>
    <row r="300" spans="1:14" outlineLevel="1">
      <c r="A300" s="4" t="s">
        <v>171</v>
      </c>
      <c r="F300" s="4">
        <f>-H166</f>
        <v>6979.1412130376348</v>
      </c>
      <c r="G300" s="4">
        <f t="shared" ref="G300:L300" si="255">-I166</f>
        <v>7188.5154494287644</v>
      </c>
      <c r="H300" s="4">
        <f t="shared" si="255"/>
        <v>6968.6314474462379</v>
      </c>
      <c r="I300" s="4">
        <f t="shared" si="255"/>
        <v>7177.6903908696258</v>
      </c>
      <c r="J300" s="4">
        <f t="shared" si="255"/>
        <v>7393.0211025957151</v>
      </c>
      <c r="K300" s="4">
        <f t="shared" si="255"/>
        <v>7138.8860021939872</v>
      </c>
      <c r="L300" s="4">
        <f t="shared" si="255"/>
        <v>7353.0525822598065</v>
      </c>
    </row>
    <row r="301" spans="1:14" outlineLevel="1">
      <c r="A301" s="4" t="s">
        <v>172</v>
      </c>
      <c r="F301" s="4">
        <f>H121</f>
        <v>6400</v>
      </c>
      <c r="G301" s="4">
        <f t="shared" ref="G301:L301" si="256">I121</f>
        <v>6515.8282426075275</v>
      </c>
      <c r="H301" s="4">
        <f t="shared" si="256"/>
        <v>6650.3656839717733</v>
      </c>
      <c r="I301" s="4">
        <f t="shared" si="256"/>
        <v>6714.0188366666671</v>
      </c>
      <c r="J301" s="4">
        <f t="shared" si="256"/>
        <v>6806.7531475072583</v>
      </c>
      <c r="K301" s="4">
        <f t="shared" si="256"/>
        <v>6924.0067385249495</v>
      </c>
      <c r="L301" s="4">
        <f t="shared" si="256"/>
        <v>6966.9825912587567</v>
      </c>
    </row>
    <row r="302" spans="1:14" outlineLevel="1">
      <c r="A302" s="4" t="s">
        <v>173</v>
      </c>
      <c r="F302" s="4">
        <f>H192</f>
        <v>1172.4257837433101</v>
      </c>
      <c r="G302" s="4">
        <f t="shared" ref="G302:L302" si="257">I192</f>
        <v>195.70839179186987</v>
      </c>
      <c r="H302" s="4">
        <f t="shared" si="257"/>
        <v>141.91670307091317</v>
      </c>
      <c r="I302" s="4">
        <f t="shared" si="257"/>
        <v>144.38431594880149</v>
      </c>
      <c r="J302" s="4">
        <f t="shared" si="257"/>
        <v>146.87226056659711</v>
      </c>
      <c r="K302" s="4">
        <f t="shared" si="257"/>
        <v>214.57484193321579</v>
      </c>
      <c r="L302" s="4">
        <f t="shared" si="257"/>
        <v>221.0120871912095</v>
      </c>
    </row>
    <row r="303" spans="1:14" outlineLevel="1">
      <c r="A303" s="17" t="s">
        <v>174</v>
      </c>
      <c r="B303" s="17"/>
      <c r="C303" s="18"/>
      <c r="D303" s="17"/>
      <c r="E303" s="17"/>
      <c r="F303" s="17">
        <f>F298-F299-F300+F301-F302</f>
        <v>15307.062069079271</v>
      </c>
      <c r="G303" s="17">
        <f t="shared" ref="G303:L303" si="258">G298-G299-G300+G301-G302</f>
        <v>16902.312569397654</v>
      </c>
      <c r="H303" s="17">
        <f t="shared" si="258"/>
        <v>17988.180756471262</v>
      </c>
      <c r="I303" s="17">
        <f t="shared" si="258"/>
        <v>18610.382676632908</v>
      </c>
      <c r="J303" s="17">
        <f t="shared" si="258"/>
        <v>19629.376538753306</v>
      </c>
      <c r="K303" s="17">
        <f t="shared" si="258"/>
        <v>20422.802453823628</v>
      </c>
      <c r="L303" s="17">
        <f t="shared" si="258"/>
        <v>21164.563222611752</v>
      </c>
      <c r="M303" s="17"/>
    </row>
    <row r="304" spans="1:14" outlineLevel="1">
      <c r="A304" s="22"/>
      <c r="B304" s="22"/>
      <c r="C304" s="23"/>
      <c r="D304" s="22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outlineLevel="1">
      <c r="A305" s="137" t="s">
        <v>193</v>
      </c>
      <c r="B305" s="69"/>
      <c r="C305" s="138"/>
      <c r="D305" s="69"/>
      <c r="E305" s="144">
        <v>0</v>
      </c>
      <c r="F305" s="69">
        <f>F303*F296</f>
        <v>11480.296551809453</v>
      </c>
      <c r="G305" s="69">
        <f t="shared" ref="G305:L305" si="259">G303*G296</f>
        <v>16902.312569397654</v>
      </c>
      <c r="H305" s="69">
        <f t="shared" si="259"/>
        <v>17988.180756471262</v>
      </c>
      <c r="I305" s="69">
        <f t="shared" si="259"/>
        <v>18610.382676632908</v>
      </c>
      <c r="J305" s="69">
        <f t="shared" si="259"/>
        <v>19629.376538753306</v>
      </c>
      <c r="K305" s="69">
        <f t="shared" si="259"/>
        <v>20422.802453823628</v>
      </c>
      <c r="L305" s="69">
        <f t="shared" si="259"/>
        <v>21164.563222611752</v>
      </c>
      <c r="M305" s="139">
        <f>C321</f>
        <v>228415.99812587263</v>
      </c>
    </row>
    <row r="306" spans="1:13" outlineLevel="1">
      <c r="A306" s="140" t="s">
        <v>194</v>
      </c>
      <c r="B306" s="141"/>
      <c r="C306" s="142"/>
      <c r="D306" s="141"/>
      <c r="E306" s="141">
        <f>-D37</f>
        <v>-147031.81139160329</v>
      </c>
      <c r="F306" s="141">
        <f>F305</f>
        <v>11480.296551809453</v>
      </c>
      <c r="G306" s="141">
        <f t="shared" ref="G306:L306" si="260">G305</f>
        <v>16902.312569397654</v>
      </c>
      <c r="H306" s="141">
        <f t="shared" si="260"/>
        <v>17988.180756471262</v>
      </c>
      <c r="I306" s="141">
        <f t="shared" si="260"/>
        <v>18610.382676632908</v>
      </c>
      <c r="J306" s="141">
        <f t="shared" si="260"/>
        <v>19629.376538753306</v>
      </c>
      <c r="K306" s="141">
        <f t="shared" si="260"/>
        <v>20422.802453823628</v>
      </c>
      <c r="L306" s="141">
        <f t="shared" si="260"/>
        <v>21164.563222611752</v>
      </c>
      <c r="M306" s="143">
        <f>M305</f>
        <v>228415.99812587263</v>
      </c>
    </row>
    <row r="307" spans="1:13" outlineLevel="1"/>
    <row r="308" spans="1:13" outlineLevel="1">
      <c r="A308" s="15" t="s">
        <v>186</v>
      </c>
    </row>
    <row r="309" spans="1:13" outlineLevel="1">
      <c r="A309" s="4" t="s">
        <v>31</v>
      </c>
      <c r="F309" s="4">
        <f ca="1">H163</f>
        <v>17222.50864010107</v>
      </c>
      <c r="G309" s="4">
        <f t="shared" ref="G309:L309" ca="1" si="261">I163</f>
        <v>19473.682994012881</v>
      </c>
      <c r="H309" s="4">
        <f t="shared" ca="1" si="261"/>
        <v>20825.582017495432</v>
      </c>
      <c r="I309" s="4">
        <f t="shared" ca="1" si="261"/>
        <v>22224.751748769697</v>
      </c>
      <c r="J309" s="4">
        <f t="shared" ca="1" si="261"/>
        <v>24213.54115756063</v>
      </c>
      <c r="K309" s="4">
        <f t="shared" ca="1" si="261"/>
        <v>25699.921563756863</v>
      </c>
      <c r="L309" s="4">
        <f t="shared" ca="1" si="261"/>
        <v>27732.824563497888</v>
      </c>
    </row>
    <row r="310" spans="1:13" outlineLevel="1">
      <c r="A310" s="4" t="s">
        <v>171</v>
      </c>
      <c r="F310" s="4">
        <f>F300</f>
        <v>6979.1412130376348</v>
      </c>
      <c r="G310" s="4">
        <f t="shared" ref="G310:L310" si="262">G300</f>
        <v>7188.5154494287644</v>
      </c>
      <c r="H310" s="4">
        <f t="shared" si="262"/>
        <v>6968.6314474462379</v>
      </c>
      <c r="I310" s="4">
        <f t="shared" si="262"/>
        <v>7177.6903908696258</v>
      </c>
      <c r="J310" s="4">
        <f t="shared" si="262"/>
        <v>7393.0211025957151</v>
      </c>
      <c r="K310" s="4">
        <f t="shared" si="262"/>
        <v>7138.8860021939872</v>
      </c>
      <c r="L310" s="4">
        <f t="shared" si="262"/>
        <v>7353.0525822598065</v>
      </c>
    </row>
    <row r="311" spans="1:13" outlineLevel="1">
      <c r="A311" s="4" t="s">
        <v>175</v>
      </c>
      <c r="F311" s="4">
        <f ca="1">-(H171+H172)</f>
        <v>10243.367427063422</v>
      </c>
      <c r="G311" s="4">
        <f t="shared" ref="G311:L311" ca="1" si="263">-(I171+I172)</f>
        <v>12285.167544584117</v>
      </c>
      <c r="H311" s="4">
        <f t="shared" ca="1" si="263"/>
        <v>13856.950570049186</v>
      </c>
      <c r="I311" s="4">
        <f t="shared" ca="1" si="263"/>
        <v>15047.061357900035</v>
      </c>
      <c r="J311" s="4">
        <f t="shared" ca="1" si="263"/>
        <v>16820.520054965193</v>
      </c>
      <c r="K311" s="4">
        <f t="shared" ca="1" si="263"/>
        <v>18561.035561549968</v>
      </c>
      <c r="L311" s="4">
        <f t="shared" ca="1" si="263"/>
        <v>20379.771979838413</v>
      </c>
    </row>
    <row r="312" spans="1:13" outlineLevel="1">
      <c r="A312" s="17" t="s">
        <v>176</v>
      </c>
      <c r="B312" s="16"/>
      <c r="C312" s="44"/>
      <c r="D312" s="17"/>
      <c r="E312" s="17"/>
      <c r="F312" s="17">
        <f ca="1">F309-F310-F311</f>
        <v>1.4551915228366852E-11</v>
      </c>
      <c r="G312" s="17">
        <f t="shared" ref="G312:L312" ca="1" si="264">G309-G310-G311</f>
        <v>0</v>
      </c>
      <c r="H312" s="17">
        <f t="shared" ca="1" si="264"/>
        <v>0</v>
      </c>
      <c r="I312" s="17">
        <f t="shared" ca="1" si="264"/>
        <v>3.637978807091713E-11</v>
      </c>
      <c r="J312" s="17">
        <f t="shared" ca="1" si="264"/>
        <v>-2.7648638933897018E-10</v>
      </c>
      <c r="K312" s="17">
        <f t="shared" ca="1" si="264"/>
        <v>1.2907548807561398E-8</v>
      </c>
      <c r="L312" s="17">
        <f t="shared" ca="1" si="264"/>
        <v>1.3996686902828515E-6</v>
      </c>
      <c r="M312" s="17"/>
    </row>
    <row r="313" spans="1:13" outlineLevel="1"/>
    <row r="314" spans="1:13" outlineLevel="1">
      <c r="A314" s="137" t="s">
        <v>193</v>
      </c>
      <c r="B314" s="69"/>
      <c r="C314" s="138"/>
      <c r="D314" s="69"/>
      <c r="E314" s="144">
        <v>0</v>
      </c>
      <c r="F314" s="69">
        <f ca="1">F312*F296</f>
        <v>1.0913936421275139E-11</v>
      </c>
      <c r="G314" s="69">
        <f t="shared" ref="G314:L314" ca="1" si="265">G312*G296</f>
        <v>0</v>
      </c>
      <c r="H314" s="69">
        <f t="shared" ca="1" si="265"/>
        <v>0</v>
      </c>
      <c r="I314" s="69">
        <f t="shared" ca="1" si="265"/>
        <v>3.637978807091713E-11</v>
      </c>
      <c r="J314" s="69">
        <f t="shared" ca="1" si="265"/>
        <v>-2.7648638933897018E-10</v>
      </c>
      <c r="K314" s="69">
        <f t="shared" ca="1" si="265"/>
        <v>1.2907548807561398E-8</v>
      </c>
      <c r="L314" s="69">
        <f t="shared" ca="1" si="265"/>
        <v>1.3996686902828515E-6</v>
      </c>
      <c r="M314" s="139">
        <f ca="1">C325</f>
        <v>228109.87261840166</v>
      </c>
    </row>
    <row r="315" spans="1:13" outlineLevel="1">
      <c r="A315" s="140" t="s">
        <v>194</v>
      </c>
      <c r="B315" s="141"/>
      <c r="C315" s="142"/>
      <c r="D315" s="141"/>
      <c r="E315" s="141">
        <f ca="1">-C57</f>
        <v>-45521.92099658621</v>
      </c>
      <c r="F315" s="141">
        <f ca="1">F314</f>
        <v>1.0913936421275139E-11</v>
      </c>
      <c r="G315" s="141">
        <f t="shared" ref="G315:L315" ca="1" si="266">G314</f>
        <v>0</v>
      </c>
      <c r="H315" s="141">
        <f t="shared" ca="1" si="266"/>
        <v>0</v>
      </c>
      <c r="I315" s="141">
        <f t="shared" ca="1" si="266"/>
        <v>3.637978807091713E-11</v>
      </c>
      <c r="J315" s="141">
        <f t="shared" ca="1" si="266"/>
        <v>-2.7648638933897018E-10</v>
      </c>
      <c r="K315" s="141">
        <f t="shared" ca="1" si="266"/>
        <v>1.2907548807561398E-8</v>
      </c>
      <c r="L315" s="141">
        <f t="shared" ca="1" si="266"/>
        <v>1.3996686902828515E-6</v>
      </c>
      <c r="M315" s="143">
        <f ca="1">M314</f>
        <v>228109.87261840166</v>
      </c>
    </row>
    <row r="316" spans="1:13" outlineLevel="1"/>
    <row r="317" spans="1:13" outlineLevel="1"/>
    <row r="318" spans="1:13" outlineLevel="1">
      <c r="A318" s="72" t="s">
        <v>178</v>
      </c>
      <c r="B318" s="55"/>
      <c r="C318" s="134"/>
      <c r="E318" s="72" t="s">
        <v>185</v>
      </c>
      <c r="F318" s="55"/>
      <c r="G318" s="134"/>
      <c r="H318" s="72"/>
      <c r="J318" s="72" t="s">
        <v>189</v>
      </c>
      <c r="K318" s="55"/>
      <c r="L318" s="134"/>
    </row>
    <row r="319" spans="1:13" outlineLevel="1">
      <c r="A319" s="4" t="s">
        <v>179</v>
      </c>
      <c r="C319" s="4">
        <f>L298+L301</f>
        <v>38069.333020978775</v>
      </c>
      <c r="G319" s="4" t="s">
        <v>187</v>
      </c>
      <c r="H319" s="53" t="s">
        <v>188</v>
      </c>
    </row>
    <row r="320" spans="1:13" outlineLevel="1">
      <c r="A320" s="4" t="s">
        <v>180</v>
      </c>
      <c r="C320" s="133">
        <f>D45</f>
        <v>6</v>
      </c>
      <c r="E320" s="4" t="s">
        <v>50</v>
      </c>
      <c r="G320" s="77">
        <f>L320</f>
        <v>0.17293789982795718</v>
      </c>
      <c r="H320" s="16">
        <f>XNPV(G320,E305:M305,E295:M295)</f>
        <v>147031.81341570872</v>
      </c>
      <c r="J320" s="4" t="s">
        <v>190</v>
      </c>
      <c r="L320" s="60">
        <f>XIRR(E306:M306,E295:M295)</f>
        <v>0.17293789982795718</v>
      </c>
    </row>
    <row r="321" spans="1:14" outlineLevel="1">
      <c r="A321" s="16" t="s">
        <v>184</v>
      </c>
      <c r="B321" s="16"/>
      <c r="C321" s="44">
        <f>C319*C320</f>
        <v>228415.99812587263</v>
      </c>
      <c r="E321" s="4" t="s">
        <v>186</v>
      </c>
      <c r="G321" s="61">
        <f ca="1">L321</f>
        <v>0.26927512288093569</v>
      </c>
      <c r="H321" s="4">
        <f ca="1">XNPV(G321,E314:M314,E295:M295)</f>
        <v>45521.920373483736</v>
      </c>
      <c r="J321" s="4" t="s">
        <v>191</v>
      </c>
      <c r="L321" s="60">
        <f ca="1">XIRR(E315:M315,E295:M295)</f>
        <v>0.26927512288093569</v>
      </c>
    </row>
    <row r="322" spans="1:14" outlineLevel="1"/>
    <row r="323" spans="1:14" outlineLevel="1">
      <c r="A323" s="4" t="s">
        <v>181</v>
      </c>
      <c r="C323" s="8">
        <f ca="1">N133</f>
        <v>10000.00000179201</v>
      </c>
    </row>
    <row r="324" spans="1:14" outlineLevel="1">
      <c r="A324" s="4" t="s">
        <v>182</v>
      </c>
      <c r="C324" s="8">
        <f ca="1">N142+N145</f>
        <v>10306.125504080228</v>
      </c>
    </row>
    <row r="325" spans="1:14" outlineLevel="1">
      <c r="A325" s="16" t="s">
        <v>183</v>
      </c>
      <c r="B325" s="16"/>
      <c r="C325" s="44">
        <f ca="1">C321+C323-C324</f>
        <v>228109.87262358441</v>
      </c>
    </row>
    <row r="326" spans="1:14" outlineLevel="1"/>
    <row r="327" spans="1:14" outlineLevel="1"/>
    <row r="328" spans="1:14" outlineLevel="1">
      <c r="A328" s="62" t="s">
        <v>195</v>
      </c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</row>
    <row r="329" spans="1:14" outlineLevel="1">
      <c r="E329" s="171">
        <f>E295</f>
        <v>43190</v>
      </c>
      <c r="F329" s="171">
        <f t="shared" ref="F329:M329" si="267">F295</f>
        <v>43465</v>
      </c>
      <c r="G329" s="171">
        <f t="shared" si="267"/>
        <v>43830</v>
      </c>
      <c r="H329" s="171">
        <f t="shared" si="267"/>
        <v>44196</v>
      </c>
      <c r="I329" s="171">
        <f t="shared" si="267"/>
        <v>44561</v>
      </c>
      <c r="J329" s="171">
        <f t="shared" si="267"/>
        <v>44926</v>
      </c>
      <c r="K329" s="171">
        <f t="shared" si="267"/>
        <v>45291</v>
      </c>
      <c r="L329" s="171">
        <f t="shared" si="267"/>
        <v>45657</v>
      </c>
      <c r="M329" s="171">
        <f t="shared" si="267"/>
        <v>45657</v>
      </c>
    </row>
    <row r="330" spans="1:14" outlineLevel="1">
      <c r="A330" s="71" t="s">
        <v>200</v>
      </c>
      <c r="B330" s="19"/>
      <c r="C330" s="150" t="s">
        <v>198</v>
      </c>
      <c r="D330" s="22"/>
      <c r="E330" s="170" t="s">
        <v>199</v>
      </c>
      <c r="F330" s="170"/>
      <c r="G330" s="170"/>
      <c r="H330" s="170"/>
      <c r="I330" s="170"/>
      <c r="J330" s="170"/>
      <c r="K330" s="170"/>
      <c r="L330" s="170"/>
      <c r="M330" s="170"/>
    </row>
    <row r="331" spans="1:14" outlineLevel="1">
      <c r="A331" s="16" t="str">
        <f>$A$54</f>
        <v>Term Loan 1</v>
      </c>
      <c r="B331" s="19"/>
      <c r="C331" s="83">
        <f ca="1">XIRR(E331:M331,$E$329:$M$329)</f>
        <v>4.723153412342071E-2</v>
      </c>
      <c r="D331" s="19"/>
      <c r="E331" s="16">
        <f>-G232</f>
        <v>-50000</v>
      </c>
      <c r="F331" s="16">
        <f ca="1">H234+H230+H231</f>
        <v>7375</v>
      </c>
      <c r="G331" s="16">
        <f t="shared" ref="G331:M331" ca="1" si="268">I234+I230+I231</f>
        <v>7125</v>
      </c>
      <c r="H331" s="16">
        <f t="shared" ca="1" si="268"/>
        <v>6941.0492015771579</v>
      </c>
      <c r="I331" s="16">
        <f t="shared" ca="1" si="268"/>
        <v>9082.0552734338671</v>
      </c>
      <c r="J331" s="16">
        <f t="shared" ca="1" si="268"/>
        <v>28093.944713956655</v>
      </c>
      <c r="K331" s="16">
        <f t="shared" ca="1" si="268"/>
        <v>0</v>
      </c>
      <c r="L331" s="16">
        <f t="shared" ca="1" si="268"/>
        <v>0</v>
      </c>
      <c r="M331" s="16">
        <f t="shared" si="268"/>
        <v>0</v>
      </c>
    </row>
    <row r="332" spans="1:14" outlineLevel="1">
      <c r="A332" s="19" t="str">
        <f>$A$55</f>
        <v>Term Loan 2</v>
      </c>
      <c r="B332" s="19"/>
      <c r="C332" s="101">
        <f t="shared" ref="C332:C334" ca="1" si="269">XIRR(E332:M332,$E$329:$M$329)</f>
        <v>6.7035755515098577E-2</v>
      </c>
      <c r="D332" s="19"/>
      <c r="E332" s="19">
        <f>-G240</f>
        <v>-50000</v>
      </c>
      <c r="F332" s="19">
        <f ca="1">H242+H238+H239</f>
        <v>8325</v>
      </c>
      <c r="G332" s="19">
        <f t="shared" ref="G332:M332" ca="1" si="270">I242+I238+I239</f>
        <v>7975</v>
      </c>
      <c r="H332" s="19">
        <f t="shared" ca="1" si="270"/>
        <v>7690.3717738686737</v>
      </c>
      <c r="I332" s="19">
        <f t="shared" ca="1" si="270"/>
        <v>9705.4651112273987</v>
      </c>
      <c r="J332" s="19">
        <f t="shared" ca="1" si="270"/>
        <v>6743.6108585141128</v>
      </c>
      <c r="K332" s="19">
        <f t="shared" ca="1" si="270"/>
        <v>23193.031979458661</v>
      </c>
      <c r="L332" s="19">
        <f t="shared" ca="1" si="270"/>
        <v>0</v>
      </c>
      <c r="M332" s="19">
        <f t="shared" si="270"/>
        <v>0</v>
      </c>
    </row>
    <row r="333" spans="1:14" outlineLevel="1">
      <c r="A333" s="19" t="str">
        <f>$A$56</f>
        <v>Sub Debt 1</v>
      </c>
      <c r="C333" s="60">
        <f t="shared" ca="1" si="269"/>
        <v>0.12000679373741147</v>
      </c>
      <c r="E333" s="4">
        <f>-G248</f>
        <v>-11250</v>
      </c>
      <c r="F333" s="4">
        <f ca="1">H250+H246+H247</f>
        <v>1350</v>
      </c>
      <c r="G333" s="4">
        <f t="shared" ref="G333:M333" ca="1" si="271">I250+I246+I247</f>
        <v>1350</v>
      </c>
      <c r="H333" s="4">
        <f t="shared" ca="1" si="271"/>
        <v>1350</v>
      </c>
      <c r="I333" s="4">
        <f t="shared" ca="1" si="271"/>
        <v>1350</v>
      </c>
      <c r="J333" s="4">
        <f t="shared" ca="1" si="271"/>
        <v>1350</v>
      </c>
      <c r="K333" s="4">
        <f t="shared" ca="1" si="271"/>
        <v>1350</v>
      </c>
      <c r="L333" s="4">
        <f t="shared" ca="1" si="271"/>
        <v>11925</v>
      </c>
      <c r="M333" s="4">
        <f t="shared" si="271"/>
        <v>0</v>
      </c>
    </row>
    <row r="334" spans="1:14" outlineLevel="1">
      <c r="A334" s="19" t="str">
        <f>$A$57</f>
        <v>Sponsor Equity</v>
      </c>
      <c r="C334" s="60">
        <f t="shared" ca="1" si="269"/>
        <v>0.26927512288093569</v>
      </c>
      <c r="E334" s="4">
        <f ca="1">E315</f>
        <v>-45521.92099658621</v>
      </c>
      <c r="F334" s="4">
        <f t="shared" ref="F334:M334" ca="1" si="272">F315</f>
        <v>1.0913936421275139E-11</v>
      </c>
      <c r="G334" s="4">
        <f t="shared" ca="1" si="272"/>
        <v>0</v>
      </c>
      <c r="H334" s="4">
        <f t="shared" ca="1" si="272"/>
        <v>0</v>
      </c>
      <c r="I334" s="4">
        <f t="shared" ca="1" si="272"/>
        <v>3.637978807091713E-11</v>
      </c>
      <c r="J334" s="4">
        <f t="shared" ca="1" si="272"/>
        <v>-2.7648638933897018E-10</v>
      </c>
      <c r="K334" s="4">
        <f t="shared" ca="1" si="272"/>
        <v>1.2907548807561398E-8</v>
      </c>
      <c r="L334" s="4">
        <f t="shared" ca="1" si="272"/>
        <v>1.3996686902828515E-6</v>
      </c>
      <c r="M334" s="4">
        <f t="shared" ca="1" si="272"/>
        <v>228109.87261840166</v>
      </c>
    </row>
    <row r="335" spans="1:14" outlineLevel="1">
      <c r="A335" s="19"/>
      <c r="C335" s="60"/>
    </row>
    <row r="336" spans="1:14" outlineLevel="1">
      <c r="A336" s="19" t="s">
        <v>242</v>
      </c>
      <c r="C336" s="172">
        <f ca="1">SUM(F334:M334)/-E334</f>
        <v>5.0109895985479271</v>
      </c>
    </row>
    <row r="337" spans="1:14" outlineLevel="1">
      <c r="A337" s="19"/>
      <c r="C337" s="172"/>
    </row>
    <row r="338" spans="1:14" outlineLevel="1"/>
    <row r="339" spans="1:14" outlineLevel="1">
      <c r="B339" s="177" t="s">
        <v>243</v>
      </c>
      <c r="C339" s="177"/>
      <c r="D339" s="177"/>
      <c r="E339" s="177"/>
      <c r="F339" s="177"/>
      <c r="G339" s="177"/>
      <c r="I339" s="177" t="s">
        <v>245</v>
      </c>
      <c r="J339" s="177"/>
      <c r="K339" s="177"/>
      <c r="L339" s="177"/>
      <c r="M339" s="177"/>
      <c r="N339" s="177"/>
    </row>
    <row r="340" spans="1:14" outlineLevel="1">
      <c r="C340" s="173" t="s">
        <v>229</v>
      </c>
      <c r="D340" s="173"/>
      <c r="E340" s="173"/>
      <c r="F340" s="173"/>
      <c r="G340" s="173"/>
      <c r="J340" s="173" t="s">
        <v>229</v>
      </c>
      <c r="K340" s="173"/>
      <c r="L340" s="173"/>
      <c r="M340" s="173"/>
      <c r="N340" s="173"/>
    </row>
    <row r="341" spans="1:14" outlineLevel="1">
      <c r="B341" s="174">
        <f ca="1">C334</f>
        <v>0.26927512288093569</v>
      </c>
      <c r="C341" s="175">
        <v>5</v>
      </c>
      <c r="D341" s="175">
        <f>+C341+0.5</f>
        <v>5.5</v>
      </c>
      <c r="E341" s="175">
        <f t="shared" ref="E341:G341" si="273">+D341+0.5</f>
        <v>6</v>
      </c>
      <c r="F341" s="175">
        <f t="shared" si="273"/>
        <v>6.5</v>
      </c>
      <c r="G341" s="175">
        <f t="shared" si="273"/>
        <v>7</v>
      </c>
      <c r="I341" s="191">
        <f ca="1">C336</f>
        <v>5.0109895985479271</v>
      </c>
      <c r="J341" s="175">
        <v>5</v>
      </c>
      <c r="K341" s="175">
        <f>+J341+0.5</f>
        <v>5.5</v>
      </c>
      <c r="L341" s="175">
        <f t="shared" ref="L341:N341" si="274">+K341+0.5</f>
        <v>6</v>
      </c>
      <c r="M341" s="175">
        <f t="shared" si="274"/>
        <v>6.5</v>
      </c>
      <c r="N341" s="175">
        <f t="shared" si="274"/>
        <v>7</v>
      </c>
    </row>
    <row r="342" spans="1:14" outlineLevel="1">
      <c r="B342" s="176">
        <v>5</v>
      </c>
      <c r="C342" s="83">
        <f t="dataTable" ref="C342:G346" dt2D="1" dtr="1" r1="D44" r2="D45" ca="1"/>
        <v>0.23544500470161439</v>
      </c>
      <c r="D342" s="83">
        <v>0.23544500470161439</v>
      </c>
      <c r="E342" s="83">
        <v>0.23544500470161439</v>
      </c>
      <c r="F342" s="83">
        <v>0.23544500470161439</v>
      </c>
      <c r="G342" s="83">
        <v>0.23544500470161439</v>
      </c>
      <c r="I342" s="176">
        <v>5</v>
      </c>
      <c r="J342" s="178">
        <f t="dataTable" ref="J342:N346" dt2D="1" dtr="1" r1="D44" r2="D45" ca="1"/>
        <v>4.1747038666607175</v>
      </c>
      <c r="K342" s="178">
        <v>4.1747038666607175</v>
      </c>
      <c r="L342" s="178">
        <v>4.1747038666607175</v>
      </c>
      <c r="M342" s="178">
        <v>4.1747038666607175</v>
      </c>
      <c r="N342" s="178">
        <v>4.1747038666607175</v>
      </c>
    </row>
    <row r="343" spans="1:14" outlineLevel="1">
      <c r="B343" s="176">
        <f>+B342+0.5</f>
        <v>5.5</v>
      </c>
      <c r="C343" s="60">
        <v>0.25301709771156322</v>
      </c>
      <c r="D343" s="60">
        <v>0.25301709771156322</v>
      </c>
      <c r="E343" s="60">
        <v>0.25301709771156322</v>
      </c>
      <c r="F343" s="60">
        <v>0.25301709771156322</v>
      </c>
      <c r="G343" s="60">
        <v>0.25301709771156322</v>
      </c>
      <c r="I343" s="176">
        <f>+I342+0.5</f>
        <v>5.5</v>
      </c>
      <c r="J343" s="179">
        <v>4.592846732642073</v>
      </c>
      <c r="K343" s="179">
        <v>4.592846732642073</v>
      </c>
      <c r="L343" s="179">
        <v>4.592846732642073</v>
      </c>
      <c r="M343" s="179">
        <v>4.592846732642073</v>
      </c>
      <c r="N343" s="179">
        <v>4.592846732642073</v>
      </c>
    </row>
    <row r="344" spans="1:14" outlineLevel="1">
      <c r="B344" s="176">
        <f t="shared" ref="B344:B346" si="275">+B343+0.5</f>
        <v>6</v>
      </c>
      <c r="C344" s="60">
        <v>0.26927512288093569</v>
      </c>
      <c r="D344" s="60">
        <v>0.26927512288093569</v>
      </c>
      <c r="E344" s="60">
        <v>0.26927512288093569</v>
      </c>
      <c r="F344" s="60">
        <v>0.26927512288093569</v>
      </c>
      <c r="G344" s="60">
        <v>0.26927512288093569</v>
      </c>
      <c r="I344" s="176">
        <f t="shared" ref="I344:I346" si="276">+I343+0.5</f>
        <v>6</v>
      </c>
      <c r="J344" s="179">
        <v>5.0109895986234276</v>
      </c>
      <c r="K344" s="179">
        <v>5.0109895986234276</v>
      </c>
      <c r="L344" s="179">
        <v>5.0109895986234276</v>
      </c>
      <c r="M344" s="179">
        <v>5.0109895986234276</v>
      </c>
      <c r="N344" s="179">
        <v>5.0109895986234276</v>
      </c>
    </row>
    <row r="345" spans="1:14" outlineLevel="1">
      <c r="B345" s="176">
        <f t="shared" si="275"/>
        <v>6.5</v>
      </c>
      <c r="C345" s="60">
        <v>0.2844155609607697</v>
      </c>
      <c r="D345" s="60">
        <v>0.2844155609607697</v>
      </c>
      <c r="E345" s="60">
        <v>0.2844155609607697</v>
      </c>
      <c r="F345" s="60">
        <v>0.2844155609607697</v>
      </c>
      <c r="G345" s="60">
        <v>0.2844155609607697</v>
      </c>
      <c r="I345" s="176">
        <f t="shared" si="276"/>
        <v>6.5</v>
      </c>
      <c r="J345" s="179">
        <v>5.4291324646047832</v>
      </c>
      <c r="K345" s="179">
        <v>5.4291324646047832</v>
      </c>
      <c r="L345" s="179">
        <v>5.4291324646047832</v>
      </c>
      <c r="M345" s="179">
        <v>5.4291324646047832</v>
      </c>
      <c r="N345" s="179">
        <v>5.4291324646047832</v>
      </c>
    </row>
    <row r="346" spans="1:14" outlineLevel="1">
      <c r="B346" s="176">
        <f t="shared" si="275"/>
        <v>7</v>
      </c>
      <c r="C346" s="60">
        <v>0.29859301447868347</v>
      </c>
      <c r="D346" s="60">
        <v>0.29859301447868347</v>
      </c>
      <c r="E346" s="60">
        <v>0.29859301447868347</v>
      </c>
      <c r="F346" s="60">
        <v>0.29859301447868347</v>
      </c>
      <c r="G346" s="60">
        <v>0.29859301447868347</v>
      </c>
      <c r="I346" s="176">
        <f t="shared" si="276"/>
        <v>7</v>
      </c>
      <c r="J346" s="179">
        <v>5.8472753305861378</v>
      </c>
      <c r="K346" s="179">
        <v>5.8472753305861378</v>
      </c>
      <c r="L346" s="179">
        <v>5.8472753305861378</v>
      </c>
      <c r="M346" s="179">
        <v>5.8472753305861378</v>
      </c>
      <c r="N346" s="179">
        <v>5.8472753305861378</v>
      </c>
    </row>
    <row r="347" spans="1:14" outlineLevel="1">
      <c r="C347" s="4"/>
    </row>
    <row r="348" spans="1:14" outlineLevel="1">
      <c r="C348" s="4"/>
    </row>
    <row r="349" spans="1:14" outlineLevel="1">
      <c r="B349" s="177" t="s">
        <v>244</v>
      </c>
      <c r="C349" s="177"/>
      <c r="D349" s="177"/>
      <c r="E349" s="177"/>
      <c r="F349" s="177"/>
      <c r="G349" s="177"/>
      <c r="I349" s="177" t="s">
        <v>246</v>
      </c>
      <c r="J349" s="177"/>
      <c r="K349" s="177"/>
      <c r="L349" s="177"/>
      <c r="M349" s="177"/>
      <c r="N349" s="177"/>
    </row>
    <row r="350" spans="1:14" outlineLevel="1">
      <c r="C350" s="173" t="s">
        <v>247</v>
      </c>
      <c r="D350" s="173"/>
      <c r="E350" s="173"/>
      <c r="F350" s="173"/>
      <c r="G350" s="173"/>
      <c r="J350" s="173" t="s">
        <v>247</v>
      </c>
      <c r="K350" s="173"/>
      <c r="L350" s="173"/>
      <c r="M350" s="173"/>
      <c r="N350" s="173"/>
    </row>
    <row r="351" spans="1:14" outlineLevel="1">
      <c r="B351" s="174">
        <f ca="1">C334</f>
        <v>0.26927512288093569</v>
      </c>
      <c r="C351" s="175">
        <v>1.5</v>
      </c>
      <c r="D351" s="175">
        <f>+C351+0.25</f>
        <v>1.75</v>
      </c>
      <c r="E351" s="175">
        <f t="shared" ref="E351:G351" si="277">+D351+0.25</f>
        <v>2</v>
      </c>
      <c r="F351" s="175">
        <f t="shared" si="277"/>
        <v>2.25</v>
      </c>
      <c r="G351" s="175">
        <f t="shared" si="277"/>
        <v>2.5</v>
      </c>
      <c r="I351" s="191">
        <f ca="1">C336</f>
        <v>5.0109895985479271</v>
      </c>
      <c r="J351" s="175">
        <v>1.5</v>
      </c>
      <c r="K351" s="175">
        <f>+J351+0.25</f>
        <v>1.75</v>
      </c>
      <c r="L351" s="175">
        <f t="shared" ref="L351:N351" si="278">+K351+0.25</f>
        <v>2</v>
      </c>
      <c r="M351" s="175">
        <f t="shared" si="278"/>
        <v>2.25</v>
      </c>
      <c r="N351" s="175">
        <f t="shared" si="278"/>
        <v>2.5</v>
      </c>
    </row>
    <row r="352" spans="1:14" outlineLevel="1">
      <c r="B352" s="176">
        <v>1.5</v>
      </c>
      <c r="C352" s="83">
        <f t="dataTable" ref="C352:G356" dt2D="1" dtr="1" r1="B54" r2="B55" ca="1"/>
        <v>0.22944090962409969</v>
      </c>
      <c r="D352" s="83">
        <v>0.23493885397911071</v>
      </c>
      <c r="E352" s="83">
        <v>0.24201607108116149</v>
      </c>
      <c r="F352" s="83">
        <v>0.25245223641395564</v>
      </c>
      <c r="G352" s="83">
        <v>0.27001073956489574</v>
      </c>
      <c r="I352" s="176">
        <v>1.5</v>
      </c>
      <c r="J352" s="178">
        <f t="dataTable" ref="J352:N356" dt2D="1" dtr="1" r1="B54" r2="B55" ca="1"/>
        <v>3.9977913201040396</v>
      </c>
      <c r="K352" s="178">
        <v>4.1475488153292073</v>
      </c>
      <c r="L352" s="178">
        <v>4.3270988801506816</v>
      </c>
      <c r="M352" s="178">
        <v>4.5788707604013972</v>
      </c>
      <c r="N352" s="178">
        <v>5.0306512360047355</v>
      </c>
    </row>
    <row r="353" spans="1:14" outlineLevel="1">
      <c r="B353" s="176">
        <f>+B352+0.25</f>
        <v>1.75</v>
      </c>
      <c r="C353" s="60">
        <v>0.23426617980003356</v>
      </c>
      <c r="D353" s="60">
        <v>0.24136547446250914</v>
      </c>
      <c r="E353" s="60">
        <v>0.25210171341896059</v>
      </c>
      <c r="F353" s="60">
        <v>0.26964322924613959</v>
      </c>
      <c r="G353" s="60">
        <v>0.29081094861030576</v>
      </c>
      <c r="I353" s="176">
        <f>+I352+0.25</f>
        <v>1.75</v>
      </c>
      <c r="J353" s="179">
        <v>4.1338946594747306</v>
      </c>
      <c r="K353" s="179">
        <v>4.3118019156233318</v>
      </c>
      <c r="L353" s="179">
        <v>4.570216236424824</v>
      </c>
      <c r="M353" s="179">
        <v>5.0208204356059944</v>
      </c>
      <c r="N353" s="179">
        <v>5.6144854738657592</v>
      </c>
    </row>
    <row r="354" spans="1:14" outlineLevel="1">
      <c r="B354" s="176">
        <f t="shared" ref="B354:B356" si="279">+B353+0.25</f>
        <v>2</v>
      </c>
      <c r="C354" s="60">
        <v>0.24071289896965026</v>
      </c>
      <c r="D354" s="60">
        <v>0.25175061821937572</v>
      </c>
      <c r="E354" s="60">
        <v>0.26927512288093569</v>
      </c>
      <c r="F354" s="60">
        <v>0.2904283940792084</v>
      </c>
      <c r="G354" s="60">
        <v>0.31662397980690005</v>
      </c>
      <c r="I354" s="176">
        <f t="shared" ref="I354:I356" si="280">+I353+0.25</f>
        <v>2</v>
      </c>
      <c r="J354" s="179">
        <v>4.2965049522345291</v>
      </c>
      <c r="K354" s="179">
        <v>4.5615617276609308</v>
      </c>
      <c r="L354" s="179">
        <v>5.0109896178636451</v>
      </c>
      <c r="M354" s="179">
        <v>5.6032484671301912</v>
      </c>
      <c r="N354" s="179">
        <v>6.4184562633557345</v>
      </c>
    </row>
    <row r="355" spans="1:14" outlineLevel="1">
      <c r="B355" s="176">
        <f t="shared" si="279"/>
        <v>2.25</v>
      </c>
      <c r="C355" s="60">
        <v>0.25139896273612983</v>
      </c>
      <c r="D355" s="60">
        <v>0.26890829205513</v>
      </c>
      <c r="E355" s="60">
        <v>0.2900451838970185</v>
      </c>
      <c r="F355" s="60">
        <v>0.31622896790504451</v>
      </c>
      <c r="G355" s="60">
        <v>0.34980463385581972</v>
      </c>
      <c r="I355" s="176">
        <f t="shared" si="280"/>
        <v>2.25</v>
      </c>
      <c r="J355" s="179">
        <v>4.5529071866052933</v>
      </c>
      <c r="K355" s="179">
        <v>5.0012095216458112</v>
      </c>
      <c r="L355" s="179">
        <v>5.5920114608565719</v>
      </c>
      <c r="M355" s="179">
        <v>6.4054521719019775</v>
      </c>
      <c r="N355" s="179">
        <v>7.5943153076744636</v>
      </c>
    </row>
    <row r="356" spans="1:14" outlineLevel="1">
      <c r="B356" s="176">
        <f t="shared" si="279"/>
        <v>2.5</v>
      </c>
      <c r="C356" s="60">
        <v>0.2685434997081757</v>
      </c>
      <c r="D356" s="60">
        <v>0.28966130614280705</v>
      </c>
      <c r="E356" s="60">
        <v>0.31583327651023863</v>
      </c>
      <c r="F356" s="60">
        <v>0.34938381314277644</v>
      </c>
      <c r="G356" s="60">
        <v>0.39462712407112122</v>
      </c>
      <c r="I356" s="176">
        <f t="shared" si="280"/>
        <v>2.5</v>
      </c>
      <c r="J356" s="179">
        <v>4.9914998063371359</v>
      </c>
      <c r="K356" s="179">
        <v>5.5807744539981634</v>
      </c>
      <c r="L356" s="179">
        <v>6.3924480804596238</v>
      </c>
      <c r="M356" s="179">
        <v>7.578326882081412</v>
      </c>
      <c r="N356" s="179">
        <v>9.4706217013361673</v>
      </c>
    </row>
    <row r="357" spans="1:14" outlineLevel="1"/>
    <row r="359" spans="1:14" ht="20">
      <c r="A359" s="10" t="s">
        <v>208</v>
      </c>
      <c r="B359" s="11"/>
      <c r="C359" s="12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1:14" outlineLevel="1"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4" outlineLevel="1">
      <c r="A361" s="62" t="s">
        <v>28</v>
      </c>
      <c r="B361" s="62"/>
      <c r="C361" s="63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</row>
    <row r="362" spans="1:14" outlineLevel="1">
      <c r="E362" s="192">
        <f>H157</f>
        <v>2018</v>
      </c>
      <c r="F362" s="192">
        <f t="shared" ref="F362:K362" si="281">I157</f>
        <v>2019</v>
      </c>
      <c r="G362" s="192">
        <f t="shared" si="281"/>
        <v>2020</v>
      </c>
      <c r="H362" s="192">
        <f t="shared" si="281"/>
        <v>2021</v>
      </c>
      <c r="I362" s="192">
        <f t="shared" si="281"/>
        <v>2022</v>
      </c>
      <c r="J362" s="192">
        <f t="shared" si="281"/>
        <v>2023</v>
      </c>
      <c r="K362" s="192">
        <f t="shared" si="281"/>
        <v>2024</v>
      </c>
    </row>
    <row r="363" spans="1:14" outlineLevel="1">
      <c r="A363" s="4" t="s">
        <v>31</v>
      </c>
      <c r="E363" s="4">
        <f ca="1">H163</f>
        <v>17222.50864010107</v>
      </c>
      <c r="F363" s="4">
        <f t="shared" ref="F363:K363" ca="1" si="282">I163</f>
        <v>19473.682994012881</v>
      </c>
      <c r="G363" s="4">
        <f t="shared" ca="1" si="282"/>
        <v>20825.582017495432</v>
      </c>
      <c r="H363" s="4">
        <f t="shared" ca="1" si="282"/>
        <v>22224.751748769697</v>
      </c>
      <c r="I363" s="4">
        <f t="shared" ca="1" si="282"/>
        <v>24213.54115756063</v>
      </c>
      <c r="J363" s="4">
        <f t="shared" ca="1" si="282"/>
        <v>25699.921563756863</v>
      </c>
      <c r="K363" s="4">
        <f t="shared" ca="1" si="282"/>
        <v>27732.824563497888</v>
      </c>
    </row>
    <row r="364" spans="1:14" outlineLevel="1">
      <c r="A364" s="4" t="s">
        <v>201</v>
      </c>
      <c r="E364" s="4">
        <f>H168</f>
        <v>-6979.1412130376348</v>
      </c>
      <c r="F364" s="4">
        <f t="shared" ref="F364:K364" si="283">I168</f>
        <v>-7188.5154494287644</v>
      </c>
      <c r="G364" s="4">
        <f t="shared" si="283"/>
        <v>-6968.6314474462379</v>
      </c>
      <c r="H364" s="4">
        <f t="shared" si="283"/>
        <v>-7177.6903908696258</v>
      </c>
      <c r="I364" s="4">
        <f t="shared" si="283"/>
        <v>-7393.0211025957151</v>
      </c>
      <c r="J364" s="4">
        <f t="shared" si="283"/>
        <v>-7138.8860021939872</v>
      </c>
      <c r="K364" s="4">
        <f t="shared" si="283"/>
        <v>-7353.0525822598065</v>
      </c>
    </row>
    <row r="365" spans="1:14" outlineLevel="1">
      <c r="A365" s="4" t="s">
        <v>202</v>
      </c>
      <c r="E365" s="4">
        <f ca="1">H176</f>
        <v>-10243.367427063422</v>
      </c>
      <c r="F365" s="4">
        <f t="shared" ref="F365:K365" ca="1" si="284">I176</f>
        <v>-12285.167544584117</v>
      </c>
      <c r="G365" s="4">
        <f t="shared" ca="1" si="284"/>
        <v>-13856.950570049186</v>
      </c>
      <c r="H365" s="4">
        <f t="shared" ca="1" si="284"/>
        <v>-15047.061357900035</v>
      </c>
      <c r="I365" s="4">
        <f t="shared" ca="1" si="284"/>
        <v>-16820.520054965193</v>
      </c>
      <c r="J365" s="4">
        <f t="shared" ca="1" si="284"/>
        <v>-18561.035561549968</v>
      </c>
      <c r="K365" s="4">
        <f t="shared" ca="1" si="284"/>
        <v>-20379.771979838413</v>
      </c>
    </row>
    <row r="366" spans="1:14" outlineLevel="1">
      <c r="A366" s="4" t="s">
        <v>203</v>
      </c>
      <c r="E366" s="4">
        <f ca="1">H180</f>
        <v>10000</v>
      </c>
      <c r="F366" s="4">
        <f t="shared" ref="F366:K366" ca="1" si="285">I180</f>
        <v>10000</v>
      </c>
      <c r="G366" s="4">
        <f t="shared" ca="1" si="285"/>
        <v>10000</v>
      </c>
      <c r="H366" s="4">
        <f t="shared" ca="1" si="285"/>
        <v>10000.000000000036</v>
      </c>
      <c r="I366" s="4">
        <f t="shared" ca="1" si="285"/>
        <v>9999.9999999998872</v>
      </c>
      <c r="J366" s="4">
        <f t="shared" ca="1" si="285"/>
        <v>10000.000000013224</v>
      </c>
      <c r="K366" s="4">
        <f t="shared" ca="1" si="285"/>
        <v>10000.000001442713</v>
      </c>
    </row>
    <row r="367" spans="1:14" outlineLevel="1"/>
    <row r="368" spans="1:14" outlineLevel="1">
      <c r="A368" s="4" t="s">
        <v>96</v>
      </c>
      <c r="E368" s="4">
        <f ca="1">H145+H142</f>
        <v>107256.63257293658</v>
      </c>
      <c r="F368" s="4">
        <f t="shared" ref="F368:K368" ca="1" si="286">I145+I142</f>
        <v>94971.465028352453</v>
      </c>
      <c r="G368" s="4">
        <f t="shared" ca="1" si="286"/>
        <v>81114.514458303282</v>
      </c>
      <c r="H368" s="4">
        <f t="shared" ca="1" si="286"/>
        <v>66067.453100403247</v>
      </c>
      <c r="I368" s="4">
        <f t="shared" ca="1" si="286"/>
        <v>49246.9330454382</v>
      </c>
      <c r="J368" s="4">
        <f t="shared" ca="1" si="286"/>
        <v>30685.897483888646</v>
      </c>
      <c r="K368" s="4">
        <f t="shared" ca="1" si="286"/>
        <v>10306.125504080228</v>
      </c>
    </row>
    <row r="369" spans="1:11" outlineLevel="1">
      <c r="A369" s="4" t="s">
        <v>204</v>
      </c>
      <c r="E369" s="133">
        <f ca="1">H102</f>
        <v>3.4858134457619925</v>
      </c>
      <c r="F369" s="133">
        <f t="shared" ref="F369:K369" ca="1" si="287">I102</f>
        <v>2.9769235542135775</v>
      </c>
      <c r="G369" s="133">
        <f t="shared" ca="1" si="287"/>
        <v>2.4576305393916908</v>
      </c>
      <c r="H369" s="133">
        <f t="shared" ca="1" si="287"/>
        <v>1.9335534088194197</v>
      </c>
      <c r="I369" s="133">
        <f t="shared" ca="1" si="287"/>
        <v>1.3719313264076869</v>
      </c>
      <c r="J369" s="133">
        <f t="shared" ca="1" si="287"/>
        <v>0.8358331850219477</v>
      </c>
      <c r="K369" s="133">
        <f t="shared" ca="1" si="287"/>
        <v>0.27071988622445414</v>
      </c>
    </row>
    <row r="370" spans="1:11" outlineLevel="1">
      <c r="A370" s="4" t="s">
        <v>207</v>
      </c>
      <c r="E370" s="133">
        <f ca="1">H105</f>
        <v>1.7605474740386327</v>
      </c>
      <c r="F370" s="133">
        <f t="shared" ref="F370:K370" ca="1" si="288">I105</f>
        <v>1.6896564696226859</v>
      </c>
      <c r="G370" s="133">
        <f t="shared" ca="1" si="288"/>
        <v>1.6704113610559168</v>
      </c>
      <c r="H370" s="133">
        <f t="shared" ca="1" si="288"/>
        <v>1.6967794640886122</v>
      </c>
      <c r="I370" s="133">
        <f t="shared" ca="1" si="288"/>
        <v>0.98557671641158073</v>
      </c>
      <c r="J370" s="133">
        <f t="shared" ca="1" si="288"/>
        <v>1.4645112628869938</v>
      </c>
      <c r="K370" s="133">
        <f t="shared" ca="1" si="288"/>
        <v>1.7705923426711569</v>
      </c>
    </row>
    <row r="371" spans="1:11" outlineLevel="1"/>
    <row r="372" spans="1:11" outlineLevel="1"/>
    <row r="373" spans="1:11" outlineLevel="1"/>
    <row r="374" spans="1:11" outlineLevel="1"/>
    <row r="375" spans="1:11" outlineLevel="1"/>
    <row r="376" spans="1:11" outlineLevel="1"/>
    <row r="377" spans="1:11" outlineLevel="1"/>
    <row r="378" spans="1:11" outlineLevel="1"/>
    <row r="379" spans="1:11" outlineLevel="1"/>
    <row r="380" spans="1:11" outlineLevel="1"/>
    <row r="381" spans="1:11" outlineLevel="1"/>
    <row r="382" spans="1:11" outlineLevel="1"/>
    <row r="383" spans="1:11" outlineLevel="1"/>
    <row r="384" spans="1:11" outlineLevel="1"/>
    <row r="385" outlineLevel="1"/>
    <row r="386" outlineLevel="1"/>
    <row r="387" outlineLevel="1"/>
    <row r="388" outlineLevel="1"/>
    <row r="389" outlineLevel="1"/>
    <row r="390" outlineLevel="1"/>
    <row r="391" outlineLevel="1"/>
    <row r="392" outlineLevel="1"/>
    <row r="393" outlineLevel="1"/>
  </sheetData>
  <conditionalFormatting sqref="D3:N3 D86:F101">
    <cfRule type="containsText" dxfId="31" priority="43" operator="containsText" text="OK">
      <formula>NOT(ISERROR(SEARCH("OK",D3)))</formula>
    </cfRule>
    <cfRule type="containsText" dxfId="30" priority="44" operator="containsText" text="ERROR">
      <formula>NOT(ISERROR(SEARCH("ERROR",D3)))</formula>
    </cfRule>
  </conditionalFormatting>
  <conditionalFormatting sqref="D5:M5">
    <cfRule type="containsText" dxfId="29" priority="41" operator="containsText" text="OK">
      <formula>NOT(ISERROR(SEARCH("OK",D5)))</formula>
    </cfRule>
    <cfRule type="containsText" dxfId="28" priority="42" operator="containsText" text="ERROR">
      <formula>NOT(ISERROR(SEARCH("ERROR",D5)))</formula>
    </cfRule>
  </conditionalFormatting>
  <conditionalFormatting sqref="D262:M262">
    <cfRule type="containsText" dxfId="27" priority="39" operator="containsText" text="OK">
      <formula>NOT(ISERROR(SEARCH("OK",D262)))</formula>
    </cfRule>
    <cfRule type="containsText" dxfId="26" priority="40" operator="containsText" text="ERROR">
      <formula>NOT(ISERROR(SEARCH("ERROR",D262)))</formula>
    </cfRule>
  </conditionalFormatting>
  <conditionalFormatting sqref="D111:N112">
    <cfRule type="containsText" dxfId="25" priority="37" operator="containsText" text="OK">
      <formula>NOT(ISERROR(SEARCH("OK",D111)))</formula>
    </cfRule>
    <cfRule type="containsText" dxfId="24" priority="38" operator="containsText" text="ERROR">
      <formula>NOT(ISERROR(SEARCH("ERROR",D111)))</formula>
    </cfRule>
  </conditionalFormatting>
  <conditionalFormatting sqref="D103:F103">
    <cfRule type="containsText" dxfId="23" priority="35" operator="containsText" text="OK">
      <formula>NOT(ISERROR(SEARCH("OK",D103)))</formula>
    </cfRule>
    <cfRule type="containsText" dxfId="22" priority="36" operator="containsText" text="ERROR">
      <formula>NOT(ISERROR(SEARCH("ERROR",D103)))</formula>
    </cfRule>
  </conditionalFormatting>
  <conditionalFormatting sqref="D84:N85">
    <cfRule type="containsText" dxfId="21" priority="25" operator="containsText" text="OK">
      <formula>NOT(ISERROR(SEARCH("OK",D84)))</formula>
    </cfRule>
    <cfRule type="containsText" dxfId="20" priority="26" operator="containsText" text="ERROR">
      <formula>NOT(ISERROR(SEARCH("ERROR",D84)))</formula>
    </cfRule>
  </conditionalFormatting>
  <conditionalFormatting sqref="D292:M292">
    <cfRule type="containsText" dxfId="19" priority="23" operator="containsText" text="OK">
      <formula>NOT(ISERROR(SEARCH("OK",D292)))</formula>
    </cfRule>
    <cfRule type="containsText" dxfId="18" priority="24" operator="containsText" text="ERROR">
      <formula>NOT(ISERROR(SEARCH("ERROR",D292)))</formula>
    </cfRule>
  </conditionalFormatting>
  <conditionalFormatting sqref="F294:L294">
    <cfRule type="containsText" dxfId="17" priority="21" operator="containsText" text="OK">
      <formula>NOT(ISERROR(SEARCH("OK",F294)))</formula>
    </cfRule>
    <cfRule type="containsText" dxfId="16" priority="22" operator="containsText" text="ERROR">
      <formula>NOT(ISERROR(SEARCH("ERROR",F294)))</formula>
    </cfRule>
  </conditionalFormatting>
  <conditionalFormatting sqref="E294:E295">
    <cfRule type="containsText" dxfId="15" priority="19" operator="containsText" text="OK">
      <formula>NOT(ISERROR(SEARCH("OK",E294)))</formula>
    </cfRule>
    <cfRule type="containsText" dxfId="14" priority="20" operator="containsText" text="ERROR">
      <formula>NOT(ISERROR(SEARCH("ERROR",E294)))</formula>
    </cfRule>
  </conditionalFormatting>
  <conditionalFormatting sqref="M294 M296">
    <cfRule type="containsText" dxfId="13" priority="17" operator="containsText" text="OK">
      <formula>NOT(ISERROR(SEARCH("OK",M294)))</formula>
    </cfRule>
    <cfRule type="containsText" dxfId="12" priority="18" operator="containsText" text="ERROR">
      <formula>NOT(ISERROR(SEARCH("ERROR",M294)))</formula>
    </cfRule>
  </conditionalFormatting>
  <conditionalFormatting sqref="F295:M295">
    <cfRule type="containsText" dxfId="11" priority="15" operator="containsText" text="OK">
      <formula>NOT(ISERROR(SEARCH("OK",F295)))</formula>
    </cfRule>
    <cfRule type="containsText" dxfId="10" priority="16" operator="containsText" text="ERROR">
      <formula>NOT(ISERROR(SEARCH("ERROR",F295)))</formula>
    </cfRule>
  </conditionalFormatting>
  <conditionalFormatting sqref="D360:M360">
    <cfRule type="containsText" dxfId="9" priority="11" operator="containsText" text="OK">
      <formula>NOT(ISERROR(SEARCH("OK",D360)))</formula>
    </cfRule>
    <cfRule type="containsText" dxfId="8" priority="12" operator="containsText" text="ERROR">
      <formula>NOT(ISERROR(SEARCH("ERROR",D360)))</formula>
    </cfRule>
  </conditionalFormatting>
  <conditionalFormatting sqref="D130:N130">
    <cfRule type="containsText" dxfId="7" priority="9" operator="containsText" text="OK">
      <formula>NOT(ISERROR(SEARCH("OK",D130)))</formula>
    </cfRule>
    <cfRule type="containsText" dxfId="6" priority="10" operator="containsText" text="ERROR">
      <formula>NOT(ISERROR(SEARCH("ERROR",D130)))</formula>
    </cfRule>
  </conditionalFormatting>
  <conditionalFormatting sqref="D157:N157">
    <cfRule type="containsText" dxfId="5" priority="7" operator="containsText" text="OK">
      <formula>NOT(ISERROR(SEARCH("OK",D157)))</formula>
    </cfRule>
    <cfRule type="containsText" dxfId="4" priority="8" operator="containsText" text="ERROR">
      <formula>NOT(ISERROR(SEARCH("ERROR",D157)))</formula>
    </cfRule>
  </conditionalFormatting>
  <conditionalFormatting sqref="D184:N184">
    <cfRule type="containsText" dxfId="3" priority="5" operator="containsText" text="OK">
      <formula>NOT(ISERROR(SEARCH("OK",D184)))</formula>
    </cfRule>
    <cfRule type="containsText" dxfId="2" priority="6" operator="containsText" text="ERROR">
      <formula>NOT(ISERROR(SEARCH("ERROR",D184)))</formula>
    </cfRule>
  </conditionalFormatting>
  <conditionalFormatting sqref="D202:N202">
    <cfRule type="containsText" dxfId="1" priority="1" operator="containsText" text="OK">
      <formula>NOT(ISERROR(SEARCH("OK",D202)))</formula>
    </cfRule>
    <cfRule type="containsText" dxfId="0" priority="2" operator="containsText" text="ERROR">
      <formula>NOT(ISERROR(SEARCH("ERROR",D202)))</formula>
    </cfRule>
  </conditionalFormatting>
  <dataValidations count="2">
    <dataValidation type="list" allowBlank="1" showInputMessage="1" showErrorMessage="1" sqref="G2" xr:uid="{00000000-0002-0000-0100-000000000000}">
      <formula1>$H$7:$J$7</formula1>
    </dataValidation>
    <dataValidation type="list" allowBlank="1" showInputMessage="1" showErrorMessage="1" sqref="C47" xr:uid="{00000000-0002-0000-0100-000001000000}">
      <formula1>"OFF,ON"</formula1>
    </dataValidation>
  </dataValidations>
  <pageMargins left="0.7" right="0.7" top="0.75" bottom="0.75" header="0.3" footer="0.3"/>
  <pageSetup scale="61" orientation="landscape" r:id="rId1"/>
  <ignoredErrors>
    <ignoredError sqref="H66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Leveraged Buyout (LBO) Model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2020-06-01T15:00:03Z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