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University\7 сем\generators\"/>
    </mc:Choice>
  </mc:AlternateContent>
  <xr:revisionPtr revIDLastSave="0" documentId="13_ncr:1_{D2E3AA69-0F24-4834-9981-F7B78E0FF9C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Титульный лист" sheetId="1" r:id="rId1"/>
    <sheet name="Расчет УМ на БТ на Pmax" sheetId="2" r:id="rId2"/>
    <sheet name="Расчет УМ на БТ на Pзад." sheetId="3" r:id="rId3"/>
    <sheet name="Расчет УМ на ПТ" sheetId="4" r:id="rId4"/>
    <sheet name="Расчет УМ на ПТ на Pзад" sheetId="5" r:id="rId5"/>
    <sheet name="Параметры БТ" sheetId="6" r:id="rId6"/>
    <sheet name="Параметры ПТ" sheetId="7" r:id="rId7"/>
  </sheets>
  <definedNames>
    <definedName name="Тип_БТ2">'Расчет УМ на БТ на Pзад.'!$C$3</definedName>
    <definedName name="Тип_ПТ">'Расчет УМ на ПТ'!$C$3</definedName>
    <definedName name="Тип_ПТ2">'Расчет УМ на ПТ на Pзад'!$C$3</definedName>
    <definedName name="ТипТранзистора">'Расчет УМ на БТ на Pmax'!$C$3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2" i="3"/>
  <c r="E30" i="3"/>
  <c r="E4" i="7"/>
  <c r="C70" i="5"/>
  <c r="C71" i="5" s="1"/>
  <c r="C68" i="5"/>
  <c r="C58" i="5"/>
  <c r="C57" i="5"/>
  <c r="C59" i="5" s="1"/>
  <c r="C60" i="5" s="1"/>
  <c r="C54" i="5"/>
  <c r="C48" i="5"/>
  <c r="C47" i="5"/>
  <c r="E45" i="5"/>
  <c r="C38" i="5"/>
  <c r="C39" i="5" s="1"/>
  <c r="C40" i="5" s="1"/>
  <c r="E32" i="5"/>
  <c r="E29" i="5"/>
  <c r="E23" i="5"/>
  <c r="C14" i="5"/>
  <c r="C16" i="5" s="1"/>
  <c r="C12" i="5"/>
  <c r="E30" i="5" s="1"/>
  <c r="C8" i="5"/>
  <c r="E4" i="5"/>
  <c r="E34" i="5" s="1"/>
  <c r="C65" i="4"/>
  <c r="C67" i="4" s="1"/>
  <c r="C68" i="4" s="1"/>
  <c r="C57" i="4"/>
  <c r="C56" i="4"/>
  <c r="C55" i="4"/>
  <c r="C54" i="4"/>
  <c r="C51" i="4"/>
  <c r="C45" i="4"/>
  <c r="C44" i="4"/>
  <c r="C35" i="4"/>
  <c r="C36" i="4" s="1"/>
  <c r="C37" i="4" s="1"/>
  <c r="E27" i="4"/>
  <c r="E21" i="4"/>
  <c r="C14" i="4"/>
  <c r="C17" i="4" s="1"/>
  <c r="C18" i="4" s="1"/>
  <c r="C12" i="4"/>
  <c r="C22" i="4" s="1"/>
  <c r="C10" i="4"/>
  <c r="E30" i="4" s="1"/>
  <c r="C7" i="4"/>
  <c r="C44" i="3"/>
  <c r="C43" i="3"/>
  <c r="C52" i="3" s="1"/>
  <c r="C40" i="3"/>
  <c r="C41" i="3" s="1"/>
  <c r="C42" i="3" s="1"/>
  <c r="E32" i="3"/>
  <c r="E29" i="3"/>
  <c r="E25" i="3"/>
  <c r="E26" i="3" s="1"/>
  <c r="E17" i="3"/>
  <c r="E18" i="3" s="1"/>
  <c r="C14" i="3"/>
  <c r="C24" i="3" s="1"/>
  <c r="C8" i="3"/>
  <c r="E4" i="3"/>
  <c r="E34" i="3" s="1"/>
  <c r="C46" i="2"/>
  <c r="C45" i="2"/>
  <c r="C43" i="2"/>
  <c r="C44" i="2" s="1"/>
  <c r="C42" i="2"/>
  <c r="E31" i="2"/>
  <c r="E27" i="2"/>
  <c r="E26" i="2" s="1"/>
  <c r="E24" i="2"/>
  <c r="E19" i="2"/>
  <c r="E18" i="2"/>
  <c r="E17" i="2"/>
  <c r="C15" i="2"/>
  <c r="C26" i="2" s="1"/>
  <c r="C11" i="2"/>
  <c r="E35" i="2" s="1"/>
  <c r="C7" i="2"/>
  <c r="E12" i="2" s="1"/>
  <c r="C19" i="3" l="1"/>
  <c r="C20" i="3" s="1"/>
  <c r="C45" i="3"/>
  <c r="C46" i="3" s="1"/>
  <c r="C27" i="3"/>
  <c r="C28" i="3" s="1"/>
  <c r="C26" i="3"/>
  <c r="C50" i="3" s="1"/>
  <c r="C25" i="3"/>
  <c r="C25" i="4"/>
  <c r="C26" i="4" s="1"/>
  <c r="C24" i="4"/>
  <c r="C38" i="4" s="1"/>
  <c r="C23" i="4"/>
  <c r="C29" i="4" s="1"/>
  <c r="C43" i="5"/>
  <c r="C29" i="2"/>
  <c r="C30" i="2" s="1"/>
  <c r="C28" i="2"/>
  <c r="C52" i="2" s="1"/>
  <c r="C27" i="2"/>
  <c r="C40" i="4"/>
  <c r="C19" i="5"/>
  <c r="C20" i="5" s="1"/>
  <c r="C18" i="5"/>
  <c r="C17" i="5"/>
  <c r="C47" i="2"/>
  <c r="C48" i="2" s="1"/>
  <c r="C57" i="2" s="1"/>
  <c r="C17" i="2"/>
  <c r="E24" i="3"/>
  <c r="C54" i="2"/>
  <c r="E28" i="2"/>
  <c r="E16" i="3"/>
  <c r="C24" i="5"/>
  <c r="C15" i="4"/>
  <c r="C16" i="4"/>
  <c r="C19" i="4" s="1"/>
  <c r="C30" i="3" l="1"/>
  <c r="C18" i="3"/>
  <c r="C21" i="3" s="1"/>
  <c r="C17" i="3"/>
  <c r="C31" i="2"/>
  <c r="C33" i="2"/>
  <c r="C59" i="2"/>
  <c r="C58" i="2"/>
  <c r="C58" i="4"/>
  <c r="C73" i="4"/>
  <c r="C73" i="5"/>
  <c r="C46" i="5"/>
  <c r="C72" i="5" s="1"/>
  <c r="C69" i="5"/>
  <c r="C21" i="5"/>
  <c r="C27" i="4"/>
  <c r="C28" i="4"/>
  <c r="C39" i="4"/>
  <c r="C41" i="4" s="1"/>
  <c r="C27" i="5"/>
  <c r="C28" i="5" s="1"/>
  <c r="C26" i="5"/>
  <c r="C41" i="5" s="1"/>
  <c r="C25" i="5"/>
  <c r="C31" i="5" s="1"/>
  <c r="C49" i="2"/>
  <c r="C31" i="3"/>
  <c r="C48" i="3"/>
  <c r="C49" i="3" s="1"/>
  <c r="C53" i="3" s="1"/>
  <c r="C54" i="3" s="1"/>
  <c r="C20" i="2"/>
  <c r="C21" i="2" s="1"/>
  <c r="C18" i="2"/>
  <c r="C19" i="2"/>
  <c r="C70" i="4"/>
  <c r="C43" i="4"/>
  <c r="C69" i="4" s="1"/>
  <c r="C29" i="3"/>
  <c r="C66" i="4"/>
  <c r="C50" i="2"/>
  <c r="C51" i="2" s="1"/>
  <c r="C55" i="2" s="1"/>
  <c r="C56" i="2" s="1"/>
  <c r="C34" i="2"/>
  <c r="C35" i="2" s="1"/>
  <c r="C53" i="2"/>
  <c r="C55" i="3"/>
  <c r="C47" i="3"/>
  <c r="C31" i="4" l="1"/>
  <c r="C59" i="4"/>
  <c r="C71" i="4"/>
  <c r="C72" i="4"/>
  <c r="C75" i="5"/>
  <c r="C74" i="5"/>
  <c r="C74" i="4"/>
  <c r="C75" i="4" s="1"/>
  <c r="C22" i="2"/>
  <c r="C32" i="5"/>
  <c r="C57" i="3"/>
  <c r="C56" i="3"/>
  <c r="C61" i="5"/>
  <c r="C76" i="5"/>
  <c r="C77" i="5" s="1"/>
  <c r="C32" i="3"/>
  <c r="C51" i="3"/>
  <c r="C58" i="3" s="1"/>
  <c r="C59" i="3" s="1"/>
  <c r="C60" i="3" s="1"/>
  <c r="C30" i="4"/>
  <c r="C42" i="5"/>
  <c r="C44" i="5" s="1"/>
  <c r="C30" i="5"/>
  <c r="C29" i="5"/>
  <c r="C36" i="2"/>
  <c r="C60" i="2"/>
  <c r="C61" i="2" s="1"/>
  <c r="C62" i="2" s="1"/>
  <c r="C34" i="3"/>
  <c r="C33" i="3"/>
  <c r="C62" i="5" l="1"/>
  <c r="C78" i="5"/>
  <c r="C34" i="5"/>
  <c r="C33" i="5"/>
</calcChain>
</file>

<file path=xl/sharedStrings.xml><?xml version="1.0" encoding="utf-8"?>
<sst xmlns="http://schemas.openxmlformats.org/spreadsheetml/2006/main" count="589" uniqueCount="145">
  <si>
    <t>ПРИМЕР РАСЧЕТА ШИРОКОПОЛОСНОГО ДВУХТАКТНОГО УСИЛИТЕЛЬНОГО КАСКАДА</t>
  </si>
  <si>
    <t>по дисциплине</t>
  </si>
  <si>
    <t>Генерирование колебаний и формирование сигналов</t>
  </si>
  <si>
    <t>Санкт-Петербург</t>
  </si>
  <si>
    <t>№ п/п</t>
  </si>
  <si>
    <t>Входные данные</t>
  </si>
  <si>
    <t>Ед.измер.</t>
  </si>
  <si>
    <t>Предельные значения</t>
  </si>
  <si>
    <t>Тип транзистора</t>
  </si>
  <si>
    <t>2Т912А</t>
  </si>
  <si>
    <t>Максимальная выходная частота, МГц</t>
  </si>
  <si>
    <t>МГц</t>
  </si>
  <si>
    <t>Температура корпуса транзистора</t>
  </si>
  <si>
    <t>гр.Цельсия</t>
  </si>
  <si>
    <t>Угол отсечки</t>
  </si>
  <si>
    <t>гр.</t>
  </si>
  <si>
    <t>Расчетное напряжение питания</t>
  </si>
  <si>
    <t>В</t>
  </si>
  <si>
    <t>Расчет выходной цепи усилительного каскада</t>
  </si>
  <si>
    <t>Расчитываем максимальную мощность рассеиваемую на коллекторе транзистора:</t>
  </si>
  <si>
    <t>1.</t>
  </si>
  <si>
    <t>Pк</t>
  </si>
  <si>
    <t>Вт</t>
  </si>
  <si>
    <t>Задаемся напряжением питания исходя из расчетного значения равного, В</t>
  </si>
  <si>
    <t>2.</t>
  </si>
  <si>
    <t>Eк</t>
  </si>
  <si>
    <t>Определяем крутизну линии граничного режима</t>
  </si>
  <si>
    <t>3.</t>
  </si>
  <si>
    <t>Sгр</t>
  </si>
  <si>
    <t>А/В</t>
  </si>
  <si>
    <t>Расчитываем основные параметры выходной цепи</t>
  </si>
  <si>
    <t>4.</t>
  </si>
  <si>
    <t>Iкm</t>
  </si>
  <si>
    <t>А</t>
  </si>
  <si>
    <t>5.</t>
  </si>
  <si>
    <t>Iк0</t>
  </si>
  <si>
    <t>6.</t>
  </si>
  <si>
    <t>Iк1</t>
  </si>
  <si>
    <t>7.</t>
  </si>
  <si>
    <t>u0</t>
  </si>
  <si>
    <t>8.</t>
  </si>
  <si>
    <t>Uк</t>
  </si>
  <si>
    <t>9.</t>
  </si>
  <si>
    <t>Rк</t>
  </si>
  <si>
    <t>Ом</t>
  </si>
  <si>
    <t>Задаемся сопротивлением Rк, равным волновому линии передачи</t>
  </si>
  <si>
    <t>10.</t>
  </si>
  <si>
    <t>Производим перерасчет основных параметров выходной цепи</t>
  </si>
  <si>
    <t>11.</t>
  </si>
  <si>
    <t>12.</t>
  </si>
  <si>
    <t>13.</t>
  </si>
  <si>
    <t>14.</t>
  </si>
  <si>
    <t>15.</t>
  </si>
  <si>
    <t>16.</t>
  </si>
  <si>
    <t>uкm</t>
  </si>
  <si>
    <t>Производим расчет энергетических параметров выходной цепи</t>
  </si>
  <si>
    <t>17.</t>
  </si>
  <si>
    <t>P1</t>
  </si>
  <si>
    <t>18.</t>
  </si>
  <si>
    <t>P0</t>
  </si>
  <si>
    <t>19.</t>
  </si>
  <si>
    <t>20.</t>
  </si>
  <si>
    <t>кпд</t>
  </si>
  <si>
    <t>%</t>
  </si>
  <si>
    <t>Индуктивность монтажа входной цепи</t>
  </si>
  <si>
    <t>нГн</t>
  </si>
  <si>
    <t>Индуктивность монтажа эмиттера</t>
  </si>
  <si>
    <t>Расчет входной цепи усилительного каскада</t>
  </si>
  <si>
    <t>21.</t>
  </si>
  <si>
    <t>Ri</t>
  </si>
  <si>
    <t>22.</t>
  </si>
  <si>
    <t>Ri'</t>
  </si>
  <si>
    <t>kн</t>
  </si>
  <si>
    <t>Lвх</t>
  </si>
  <si>
    <t>Lэ'</t>
  </si>
  <si>
    <t>rос</t>
  </si>
  <si>
    <t>rвх</t>
  </si>
  <si>
    <t>Qвх</t>
  </si>
  <si>
    <t>Sп</t>
  </si>
  <si>
    <t>Cэ</t>
  </si>
  <si>
    <t>пФ</t>
  </si>
  <si>
    <t>Iг1</t>
  </si>
  <si>
    <t>Uп</t>
  </si>
  <si>
    <t>Cвх</t>
  </si>
  <si>
    <t>Cкор</t>
  </si>
  <si>
    <t>Rкор</t>
  </si>
  <si>
    <t>Rбал</t>
  </si>
  <si>
    <t>W</t>
  </si>
  <si>
    <t>Lбал</t>
  </si>
  <si>
    <t>мкГн</t>
  </si>
  <si>
    <t>Cбал</t>
  </si>
  <si>
    <t>Uвх</t>
  </si>
  <si>
    <t>Pвх</t>
  </si>
  <si>
    <t>Kp</t>
  </si>
  <si>
    <t>2Т931А</t>
  </si>
  <si>
    <t>Выходная мощность, Вт</t>
  </si>
  <si>
    <t>градусов Цельсия</t>
  </si>
  <si>
    <t>градусов</t>
  </si>
  <si>
    <t>Количество двухтактных ячеек</t>
  </si>
  <si>
    <t>Pвых</t>
  </si>
  <si>
    <t>2П979А</t>
  </si>
  <si>
    <t>Eси</t>
  </si>
  <si>
    <t>Uс</t>
  </si>
  <si>
    <t>Rс</t>
  </si>
  <si>
    <t>Uсm</t>
  </si>
  <si>
    <t>Lи0</t>
  </si>
  <si>
    <t>Ku</t>
  </si>
  <si>
    <t>Свх кор</t>
  </si>
  <si>
    <t>ws</t>
  </si>
  <si>
    <t>рад*МГц</t>
  </si>
  <si>
    <t>wв</t>
  </si>
  <si>
    <t>Свых</t>
  </si>
  <si>
    <t>Если ws&gt;wв</t>
  </si>
  <si>
    <t>Входная цепь см.рис.2.8</t>
  </si>
  <si>
    <t>b1</t>
  </si>
  <si>
    <t>b2</t>
  </si>
  <si>
    <t>Задаемся новым Rбал равным W</t>
  </si>
  <si>
    <t>С0</t>
  </si>
  <si>
    <t>L</t>
  </si>
  <si>
    <t>M</t>
  </si>
  <si>
    <t>Если ws&lt;wв</t>
  </si>
  <si>
    <t>Входная цепь см.рис.2.6</t>
  </si>
  <si>
    <t>Uк.доп</t>
  </si>
  <si>
    <t>Iк0доп</t>
  </si>
  <si>
    <t>Fт</t>
  </si>
  <si>
    <t>B0</t>
  </si>
  <si>
    <t>Lэ</t>
  </si>
  <si>
    <t>Lб</t>
  </si>
  <si>
    <t>Lк</t>
  </si>
  <si>
    <t>Cк</t>
  </si>
  <si>
    <t>Rб</t>
  </si>
  <si>
    <t>Rнас</t>
  </si>
  <si>
    <t>Rт.п-к</t>
  </si>
  <si>
    <t>Tп.доп</t>
  </si>
  <si>
    <t>2Т922В</t>
  </si>
  <si>
    <t>2Т925В</t>
  </si>
  <si>
    <t>2Т930Б</t>
  </si>
  <si>
    <t>2Т980А</t>
  </si>
  <si>
    <t>Uси.доп</t>
  </si>
  <si>
    <t>S</t>
  </si>
  <si>
    <t>Сзи</t>
  </si>
  <si>
    <t>Сси</t>
  </si>
  <si>
    <t>Сзс</t>
  </si>
  <si>
    <t>2П821А</t>
  </si>
  <si>
    <t>2П907А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</si>
</sst>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  <fill>
      <patternFill patternType="solid">
        <fgColor indexed="45"/>
        <bgColor indexed="45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2" fontId="0" fillId="2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center" vertical="center"/>
    </xf>
    <xf numFmtId="2" fontId="0" fillId="2" borderId="9" xfId="0" applyNumberFormat="1" applyFill="1" applyBorder="1" applyAlignment="1">
      <alignment horizontal="right" vertical="center"/>
    </xf>
    <xf numFmtId="2" fontId="0" fillId="0" borderId="0" xfId="0" applyNumberFormat="1"/>
    <xf numFmtId="2" fontId="0" fillId="3" borderId="9" xfId="0" applyNumberFormat="1" applyFill="1" applyBorder="1" applyAlignment="1">
      <alignment horizontal="right" vertical="center"/>
    </xf>
    <xf numFmtId="164" fontId="0" fillId="3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2" fontId="0" fillId="2" borderId="12" xfId="0" applyNumberFormat="1" applyFill="1" applyBorder="1" applyAlignment="1">
      <alignment horizontal="right"/>
    </xf>
    <xf numFmtId="2" fontId="0" fillId="2" borderId="0" xfId="0" applyNumberFormat="1" applyFill="1"/>
    <xf numFmtId="2" fontId="2" fillId="2" borderId="0" xfId="0" applyNumberFormat="1" applyFont="1" applyFill="1"/>
    <xf numFmtId="0" fontId="0" fillId="0" borderId="0" xfId="0" applyAlignment="1">
      <alignment horizontal="center" vertical="center" wrapText="1"/>
    </xf>
    <xf numFmtId="2" fontId="0" fillId="0" borderId="9" xfId="0" applyNumberFormat="1" applyBorder="1"/>
    <xf numFmtId="2" fontId="0" fillId="2" borderId="9" xfId="0" applyNumberFormat="1" applyFill="1" applyBorder="1"/>
    <xf numFmtId="2" fontId="0" fillId="0" borderId="9" xfId="0" applyNumberFormat="1" applyBorder="1" applyAlignment="1">
      <alignment horizontal="center" vertical="center"/>
    </xf>
    <xf numFmtId="2" fontId="0" fillId="3" borderId="9" xfId="0" applyNumberFormat="1" applyFill="1" applyBorder="1"/>
    <xf numFmtId="0" fontId="0" fillId="3" borderId="9" xfId="0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center" vertical="center"/>
    </xf>
    <xf numFmtId="0" fontId="0" fillId="0" borderId="13" xfId="0" applyBorder="1"/>
    <xf numFmtId="164" fontId="0" fillId="0" borderId="5" xfId="0" applyNumberFormat="1" applyBorder="1" applyAlignment="1">
      <alignment horizontal="center" vertical="center"/>
    </xf>
    <xf numFmtId="0" fontId="0" fillId="0" borderId="14" xfId="0" applyBorder="1"/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/>
    <xf numFmtId="0" fontId="0" fillId="4" borderId="13" xfId="0" applyFill="1" applyBorder="1"/>
    <xf numFmtId="0" fontId="0" fillId="4" borderId="14" xfId="0" applyFill="1" applyBorder="1"/>
    <xf numFmtId="2" fontId="0" fillId="3" borderId="0" xfId="0" applyNumberFormat="1" applyFill="1" applyAlignment="1">
      <alignment horizontal="right" vertical="center"/>
    </xf>
    <xf numFmtId="164" fontId="0" fillId="3" borderId="5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 vertical="center"/>
    </xf>
    <xf numFmtId="0" fontId="0" fillId="4" borderId="15" xfId="0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5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араметры_БТ" displayName="Параметры_БТ" ref="A2:M8">
  <autoFilter ref="A2:M8" xr:uid="{00000000-0009-0000-0100-000001000000}"/>
  <sortState xmlns:xlrd2="http://schemas.microsoft.com/office/spreadsheetml/2017/richdata2" ref="A3:M8">
    <sortCondition ref="A3:A8"/>
  </sortState>
  <tableColumns count="13">
    <tableColumn id="1" xr3:uid="{00000000-0010-0000-0000-000001000000}" name="Тип транзистора"/>
    <tableColumn id="2" xr3:uid="{00000000-0010-0000-0000-000002000000}" name="Uк.доп"/>
    <tableColumn id="3" xr3:uid="{00000000-0010-0000-0000-000003000000}" name="Iк0доп"/>
    <tableColumn id="4" xr3:uid="{00000000-0010-0000-0000-000004000000}" name="Fт"/>
    <tableColumn id="5" xr3:uid="{00000000-0010-0000-0000-000005000000}" name="B0"/>
    <tableColumn id="6" xr3:uid="{00000000-0010-0000-0000-000006000000}" name="Lэ"/>
    <tableColumn id="7" xr3:uid="{00000000-0010-0000-0000-000007000000}" name="Lб"/>
    <tableColumn id="8" xr3:uid="{00000000-0010-0000-0000-000008000000}" name="Lк"/>
    <tableColumn id="9" xr3:uid="{00000000-0010-0000-0000-000009000000}" name="Cк"/>
    <tableColumn id="10" xr3:uid="{00000000-0010-0000-0000-00000A000000}" name="Rб"/>
    <tableColumn id="11" xr3:uid="{00000000-0010-0000-0000-00000B000000}" name="Rнас"/>
    <tableColumn id="12" xr3:uid="{00000000-0010-0000-0000-00000C000000}" name="Rт.п-к"/>
    <tableColumn id="13" xr3:uid="{00000000-0010-0000-0000-00000D000000}" name="Tп.до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Параметры_ПТ" displayName="Параметры_ПТ" ref="A2:J5">
  <autoFilter ref="A2:J5" xr:uid="{00000000-0009-0000-0100-000002000000}"/>
  <sortState xmlns:xlrd2="http://schemas.microsoft.com/office/spreadsheetml/2017/richdata2" ref="A3:M7">
    <sortCondition ref="A2:A6"/>
  </sortState>
  <tableColumns count="10">
    <tableColumn id="1" xr3:uid="{00000000-0010-0000-0100-000001000000}" name="Тип транзистора"/>
    <tableColumn id="2" xr3:uid="{00000000-0010-0000-0100-000002000000}" name="Uси.доп"/>
    <tableColumn id="3" xr3:uid="{00000000-0010-0000-0100-000003000000}" name="Eси"/>
    <tableColumn id="4" xr3:uid="{00000000-0010-0000-0100-000004000000}" name="S"/>
    <tableColumn id="5" xr3:uid="{00000000-0010-0000-0100-000005000000}" name="Sгр"/>
    <tableColumn id="6" xr3:uid="{00000000-0010-0000-0100-000006000000}" name="Сзи"/>
    <tableColumn id="7" xr3:uid="{00000000-0010-0000-0100-000007000000}" name="Сси"/>
    <tableColumn id="8" xr3:uid="{00000000-0010-0000-0100-000008000000}" name="Сзс"/>
    <tableColumn id="9" xr3:uid="{00000000-0010-0000-0100-000009000000}" name="Rт.п-к"/>
    <tableColumn id="10" xr3:uid="{00000000-0010-0000-0100-00000A000000}" name="Tп.доп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workbookViewId="0">
      <selection activeCell="I17" sqref="I17"/>
    </sheetView>
  </sheetViews>
  <sheetFormatPr defaultRowHeight="14.4" x14ac:dyDescent="0.3"/>
  <sheetData>
    <row r="2" spans="2:11" x14ac:dyDescent="0.3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3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7"/>
    </row>
    <row r="4" spans="2:11" x14ac:dyDescent="0.3">
      <c r="B4" s="4"/>
      <c r="C4" s="5"/>
      <c r="D4" s="5"/>
      <c r="E4" s="5"/>
      <c r="F4" s="5"/>
      <c r="G4" s="5"/>
      <c r="H4" s="5"/>
      <c r="I4" s="5"/>
      <c r="J4" s="5"/>
      <c r="K4" s="6"/>
    </row>
    <row r="5" spans="2:11" x14ac:dyDescent="0.3">
      <c r="B5" s="4"/>
      <c r="C5" s="58" t="s">
        <v>1</v>
      </c>
      <c r="D5" s="58"/>
      <c r="E5" s="58"/>
      <c r="F5" s="58"/>
      <c r="G5" s="58"/>
      <c r="H5" s="58"/>
      <c r="I5" s="58"/>
      <c r="J5" s="58"/>
      <c r="K5" s="6"/>
    </row>
    <row r="6" spans="2:11" x14ac:dyDescent="0.3">
      <c r="B6" s="4"/>
      <c r="C6" s="58" t="s">
        <v>2</v>
      </c>
      <c r="D6" s="58"/>
      <c r="E6" s="58"/>
      <c r="F6" s="58"/>
      <c r="G6" s="58"/>
      <c r="H6" s="58"/>
      <c r="I6" s="58"/>
      <c r="J6" s="58"/>
      <c r="K6" s="6"/>
    </row>
    <row r="7" spans="2:11" x14ac:dyDescent="0.3">
      <c r="B7" s="4"/>
      <c r="C7" s="5"/>
      <c r="D7" s="5"/>
      <c r="E7" s="5"/>
      <c r="F7" s="5"/>
      <c r="G7" s="5"/>
      <c r="H7" s="5"/>
      <c r="I7" s="5"/>
      <c r="J7" s="5"/>
      <c r="K7" s="6"/>
    </row>
    <row r="8" spans="2:11" x14ac:dyDescent="0.3">
      <c r="B8" s="4"/>
      <c r="C8" s="5"/>
      <c r="D8" s="5"/>
      <c r="E8" s="5"/>
      <c r="F8" s="5"/>
      <c r="G8" s="5"/>
      <c r="H8" s="5"/>
      <c r="I8" s="5"/>
      <c r="J8" s="5"/>
      <c r="K8" s="6"/>
    </row>
    <row r="9" spans="2:11" x14ac:dyDescent="0.3">
      <c r="B9" s="4"/>
      <c r="C9" s="58" t="s">
        <v>3</v>
      </c>
      <c r="D9" s="58"/>
      <c r="E9" s="58"/>
      <c r="F9" s="58"/>
      <c r="G9" s="58"/>
      <c r="H9" s="58"/>
      <c r="I9" s="58"/>
      <c r="J9" s="58"/>
      <c r="K9" s="6"/>
    </row>
    <row r="10" spans="2:11" x14ac:dyDescent="0.3">
      <c r="B10" s="4"/>
      <c r="C10" s="58">
        <v>2021</v>
      </c>
      <c r="D10" s="58"/>
      <c r="E10" s="58"/>
      <c r="F10" s="58"/>
      <c r="G10" s="58"/>
      <c r="H10" s="58"/>
      <c r="I10" s="58"/>
      <c r="J10" s="58"/>
      <c r="K10" s="6"/>
    </row>
    <row r="11" spans="2:11" x14ac:dyDescent="0.3">
      <c r="B11" s="4"/>
      <c r="C11" s="5"/>
      <c r="D11" s="5"/>
      <c r="E11" s="5"/>
      <c r="F11" s="5"/>
      <c r="G11" s="5"/>
      <c r="H11" s="5"/>
      <c r="I11" s="5"/>
      <c r="J11" s="5"/>
      <c r="K11" s="6"/>
    </row>
    <row r="12" spans="2:11" x14ac:dyDescent="0.3">
      <c r="B12" s="7"/>
      <c r="C12" s="8"/>
      <c r="D12" s="8"/>
      <c r="E12" s="8"/>
      <c r="F12" s="8"/>
      <c r="G12" s="8"/>
      <c r="H12" s="8"/>
      <c r="I12" s="8"/>
      <c r="J12" s="8"/>
      <c r="K12" s="9"/>
    </row>
  </sheetData>
  <mergeCells count="5">
    <mergeCell ref="B3:K3"/>
    <mergeCell ref="C5:J5"/>
    <mergeCell ref="C6:J6"/>
    <mergeCell ref="C9:J9"/>
    <mergeCell ref="C10:J10"/>
  </mergeCells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selection activeCell="C15" sqref="C15"/>
    </sheetView>
  </sheetViews>
  <sheetFormatPr defaultRowHeight="14.4" x14ac:dyDescent="0.3"/>
  <cols>
    <col min="1" max="1" width="4.88671875" customWidth="1"/>
    <col min="2" max="2" width="28.109375" customWidth="1"/>
    <col min="3" max="3" width="11.21875" style="10" customWidth="1"/>
    <col min="4" max="4" width="9.88671875" customWidth="1"/>
    <col min="5" max="5" width="11.5546875" style="11" customWidth="1"/>
    <col min="7" max="7" width="16.5546875" customWidth="1"/>
  </cols>
  <sheetData>
    <row r="1" spans="1:8" ht="28.8" x14ac:dyDescent="0.3">
      <c r="A1" s="12" t="s">
        <v>4</v>
      </c>
      <c r="B1" s="59" t="s">
        <v>5</v>
      </c>
      <c r="C1" s="59"/>
      <c r="D1" s="13" t="s">
        <v>6</v>
      </c>
      <c r="E1" s="14" t="s">
        <v>7</v>
      </c>
    </row>
    <row r="3" spans="1:8" x14ac:dyDescent="0.3">
      <c r="A3" s="5" t="s">
        <v>8</v>
      </c>
      <c r="B3" s="5"/>
      <c r="C3" s="15" t="s">
        <v>9</v>
      </c>
      <c r="D3" s="5"/>
    </row>
    <row r="4" spans="1:8" x14ac:dyDescent="0.3">
      <c r="A4" s="5" t="s">
        <v>10</v>
      </c>
      <c r="B4" s="5"/>
      <c r="C4" s="15">
        <v>30</v>
      </c>
      <c r="D4" s="5" t="s">
        <v>11</v>
      </c>
      <c r="H4" s="5"/>
    </row>
    <row r="5" spans="1:8" x14ac:dyDescent="0.3">
      <c r="A5" s="5" t="s">
        <v>12</v>
      </c>
      <c r="B5" s="5"/>
      <c r="C5" s="15">
        <v>60</v>
      </c>
      <c r="D5" s="5" t="s">
        <v>13</v>
      </c>
    </row>
    <row r="6" spans="1:8" x14ac:dyDescent="0.3">
      <c r="A6" s="5" t="s">
        <v>14</v>
      </c>
      <c r="B6" s="5"/>
      <c r="C6" s="10">
        <v>90</v>
      </c>
      <c r="D6" s="5" t="s">
        <v>15</v>
      </c>
    </row>
    <row r="7" spans="1:8" x14ac:dyDescent="0.3">
      <c r="A7" s="5" t="s">
        <v>16</v>
      </c>
      <c r="B7" s="5"/>
      <c r="C7" s="10">
        <f>VLOOKUP(ТипТранзистора,Параметры_БТ[],2,FALSE)/2</f>
        <v>35</v>
      </c>
      <c r="D7" s="5" t="s">
        <v>17</v>
      </c>
    </row>
    <row r="8" spans="1:8" x14ac:dyDescent="0.3">
      <c r="A8" s="5"/>
      <c r="B8" s="5"/>
      <c r="D8" s="5"/>
    </row>
    <row r="9" spans="1:8" x14ac:dyDescent="0.3">
      <c r="A9" s="5" t="s">
        <v>18</v>
      </c>
      <c r="B9" s="5"/>
      <c r="D9" s="5"/>
    </row>
    <row r="10" spans="1:8" ht="32.4" customHeight="1" x14ac:dyDescent="0.3">
      <c r="A10" s="60" t="s">
        <v>19</v>
      </c>
      <c r="B10" s="60"/>
      <c r="C10" s="60"/>
      <c r="D10" s="60"/>
      <c r="E10" s="16"/>
    </row>
    <row r="11" spans="1:8" x14ac:dyDescent="0.3">
      <c r="A11" s="12" t="s">
        <v>20</v>
      </c>
      <c r="B11" s="12" t="s">
        <v>21</v>
      </c>
      <c r="C11" s="17">
        <f>(VLOOKUP(ТипТранзистора,Параметры_БТ[],13,FALSE)*0.8-C5)/VLOOKUP($C$3,Параметры_БТ[],12,FALSE)</f>
        <v>36.144578313253014</v>
      </c>
      <c r="D11" s="12" t="s">
        <v>22</v>
      </c>
      <c r="E11" s="18"/>
    </row>
    <row r="12" spans="1:8" ht="29.1" customHeight="1" x14ac:dyDescent="0.3">
      <c r="A12" s="60" t="s">
        <v>23</v>
      </c>
      <c r="B12" s="60"/>
      <c r="C12" s="60"/>
      <c r="D12" s="60"/>
      <c r="E12" s="11">
        <f>C7</f>
        <v>35</v>
      </c>
    </row>
    <row r="13" spans="1:8" x14ac:dyDescent="0.3">
      <c r="A13" s="12" t="s">
        <v>24</v>
      </c>
      <c r="B13" s="12" t="s">
        <v>25</v>
      </c>
      <c r="C13" s="19">
        <v>38</v>
      </c>
      <c r="D13" s="12" t="s">
        <v>17</v>
      </c>
      <c r="E13" s="18"/>
      <c r="H13" s="20"/>
    </row>
    <row r="14" spans="1:8" x14ac:dyDescent="0.3">
      <c r="A14" t="s">
        <v>26</v>
      </c>
      <c r="H14" s="20"/>
    </row>
    <row r="15" spans="1:8" x14ac:dyDescent="0.3">
      <c r="A15" s="12" t="s">
        <v>27</v>
      </c>
      <c r="B15" s="12" t="s">
        <v>28</v>
      </c>
      <c r="C15" s="17">
        <f>1/VLOOKUP(ТипТранзистора,Параметры_БТ[],11,FALSE)</f>
        <v>0.83333333333333337</v>
      </c>
      <c r="D15" s="12" t="s">
        <v>29</v>
      </c>
      <c r="E15" s="18"/>
      <c r="H15" s="20"/>
    </row>
    <row r="16" spans="1:8" x14ac:dyDescent="0.3">
      <c r="A16" t="s">
        <v>30</v>
      </c>
      <c r="H16" s="20"/>
    </row>
    <row r="17" spans="1:8" x14ac:dyDescent="0.3">
      <c r="A17" s="12" t="s">
        <v>31</v>
      </c>
      <c r="B17" s="12" t="s">
        <v>32</v>
      </c>
      <c r="C17" s="17">
        <f>0.137*C15*C13*(SQRT(1+214*C11/(C15*C13*C13))-1)</f>
        <v>7.4854579252084434</v>
      </c>
      <c r="D17" s="12" t="s">
        <v>33</v>
      </c>
      <c r="E17" s="18">
        <f>E18/0.316</f>
        <v>63.291139240506325</v>
      </c>
      <c r="H17" s="20"/>
    </row>
    <row r="18" spans="1:8" x14ac:dyDescent="0.3">
      <c r="A18" s="12" t="s">
        <v>34</v>
      </c>
      <c r="B18" s="12" t="s">
        <v>35</v>
      </c>
      <c r="C18" s="17">
        <f>C17/3.1415</f>
        <v>2.3827655340469338</v>
      </c>
      <c r="D18" s="12" t="s">
        <v>33</v>
      </c>
      <c r="E18" s="18">
        <f>VLOOKUP(ТипТранзистора,Параметры_БТ[],3,FALSE)</f>
        <v>20</v>
      </c>
      <c r="H18" s="20"/>
    </row>
    <row r="19" spans="1:8" x14ac:dyDescent="0.3">
      <c r="A19" s="12" t="s">
        <v>36</v>
      </c>
      <c r="B19" s="12" t="s">
        <v>37</v>
      </c>
      <c r="C19" s="17">
        <f>C17*0.5</f>
        <v>3.7427289626042217</v>
      </c>
      <c r="D19" s="12" t="s">
        <v>33</v>
      </c>
      <c r="E19" s="18">
        <f>E18/0.316*0.5</f>
        <v>31.645569620253163</v>
      </c>
      <c r="H19" s="20"/>
    </row>
    <row r="20" spans="1:8" x14ac:dyDescent="0.3">
      <c r="A20" s="12" t="s">
        <v>38</v>
      </c>
      <c r="B20" s="12" t="s">
        <v>39</v>
      </c>
      <c r="C20" s="17">
        <f>C17/C15</f>
        <v>8.9825495102501325</v>
      </c>
      <c r="D20" s="12" t="s">
        <v>17</v>
      </c>
      <c r="E20" s="18"/>
      <c r="H20" s="20"/>
    </row>
    <row r="21" spans="1:8" x14ac:dyDescent="0.3">
      <c r="A21" s="12" t="s">
        <v>40</v>
      </c>
      <c r="B21" s="12" t="s">
        <v>41</v>
      </c>
      <c r="C21" s="17">
        <f>C13-C20</f>
        <v>29.017450489749869</v>
      </c>
      <c r="D21" s="12" t="s">
        <v>17</v>
      </c>
      <c r="E21" s="18"/>
      <c r="H21" s="20"/>
    </row>
    <row r="22" spans="1:8" x14ac:dyDescent="0.3">
      <c r="A22" s="12" t="s">
        <v>42</v>
      </c>
      <c r="B22" s="12" t="s">
        <v>43</v>
      </c>
      <c r="C22" s="17">
        <f>C21/C19</f>
        <v>7.7530194624510793</v>
      </c>
      <c r="D22" s="12" t="s">
        <v>44</v>
      </c>
      <c r="E22" s="18"/>
      <c r="H22" s="20"/>
    </row>
    <row r="23" spans="1:8" x14ac:dyDescent="0.3">
      <c r="A23" t="s">
        <v>45</v>
      </c>
    </row>
    <row r="24" spans="1:8" x14ac:dyDescent="0.3">
      <c r="A24" s="12" t="s">
        <v>46</v>
      </c>
      <c r="B24" s="12" t="s">
        <v>43</v>
      </c>
      <c r="C24" s="19">
        <v>9.4</v>
      </c>
      <c r="D24" s="12" t="s">
        <v>44</v>
      </c>
      <c r="E24" s="18">
        <f>1000000/(2*3.14*C4*VLOOKUP(ТипТранзистора,Параметры_БТ[],9,FALSE))</f>
        <v>26.53927813163482</v>
      </c>
      <c r="H24" s="20"/>
    </row>
    <row r="25" spans="1:8" x14ac:dyDescent="0.3">
      <c r="A25" t="s">
        <v>47</v>
      </c>
      <c r="H25" s="20"/>
    </row>
    <row r="26" spans="1:8" x14ac:dyDescent="0.3">
      <c r="A26" s="12" t="s">
        <v>48</v>
      </c>
      <c r="B26" s="12" t="s">
        <v>32</v>
      </c>
      <c r="C26" s="17">
        <f>2*C15*C13/(2+C15*C24)</f>
        <v>6.4406779661016946</v>
      </c>
      <c r="D26" s="12" t="s">
        <v>33</v>
      </c>
      <c r="E26" s="18">
        <f>E27/0.316</f>
        <v>63.291139240506325</v>
      </c>
      <c r="H26" s="20"/>
    </row>
    <row r="27" spans="1:8" x14ac:dyDescent="0.3">
      <c r="A27" s="12" t="s">
        <v>49</v>
      </c>
      <c r="B27" s="12" t="s">
        <v>35</v>
      </c>
      <c r="C27" s="17">
        <f>C26/3.1415</f>
        <v>2.0501919357318776</v>
      </c>
      <c r="D27" s="12" t="s">
        <v>33</v>
      </c>
      <c r="E27" s="18">
        <f>VLOOKUP(ТипТранзистора,Параметры_БТ[],3,FALSE)</f>
        <v>20</v>
      </c>
      <c r="H27" s="20"/>
    </row>
    <row r="28" spans="1:8" x14ac:dyDescent="0.3">
      <c r="A28" s="12" t="s">
        <v>50</v>
      </c>
      <c r="B28" s="12" t="s">
        <v>37</v>
      </c>
      <c r="C28" s="17">
        <f>C26*0.5</f>
        <v>3.2203389830508473</v>
      </c>
      <c r="D28" s="12" t="s">
        <v>33</v>
      </c>
      <c r="E28" s="18">
        <f>E27/0.316*0.5</f>
        <v>31.645569620253163</v>
      </c>
      <c r="H28" s="20"/>
    </row>
    <row r="29" spans="1:8" x14ac:dyDescent="0.3">
      <c r="A29" s="12" t="s">
        <v>51</v>
      </c>
      <c r="B29" s="12" t="s">
        <v>39</v>
      </c>
      <c r="C29" s="17">
        <f>C26/C15</f>
        <v>7.7288135593220328</v>
      </c>
      <c r="D29" s="12" t="s">
        <v>17</v>
      </c>
      <c r="E29" s="18"/>
      <c r="H29" s="20"/>
    </row>
    <row r="30" spans="1:8" x14ac:dyDescent="0.3">
      <c r="A30" s="12" t="s">
        <v>52</v>
      </c>
      <c r="B30" s="12" t="s">
        <v>41</v>
      </c>
      <c r="C30" s="17">
        <f>C13-C29</f>
        <v>30.271186440677965</v>
      </c>
      <c r="D30" s="12" t="s">
        <v>17</v>
      </c>
      <c r="E30" s="18"/>
      <c r="H30" s="20"/>
    </row>
    <row r="31" spans="1:8" x14ac:dyDescent="0.3">
      <c r="A31" s="12" t="s">
        <v>53</v>
      </c>
      <c r="B31" s="12" t="s">
        <v>54</v>
      </c>
      <c r="C31" s="17">
        <f>C30+C13</f>
        <v>68.271186440677965</v>
      </c>
      <c r="D31" s="12" t="s">
        <v>17</v>
      </c>
      <c r="E31" s="18">
        <f>VLOOKUP(ТипТранзистора,Параметры_БТ[],2,FALSE)</f>
        <v>70</v>
      </c>
      <c r="H31" s="20"/>
    </row>
    <row r="32" spans="1:8" x14ac:dyDescent="0.3">
      <c r="A32" t="s">
        <v>55</v>
      </c>
      <c r="H32" s="20"/>
    </row>
    <row r="33" spans="1:8" x14ac:dyDescent="0.3">
      <c r="A33" s="12" t="s">
        <v>56</v>
      </c>
      <c r="B33" s="12" t="s">
        <v>57</v>
      </c>
      <c r="C33" s="17">
        <f>0.5*C30*C28</f>
        <v>48.741740879057737</v>
      </c>
      <c r="D33" s="12" t="s">
        <v>22</v>
      </c>
      <c r="E33" s="18"/>
      <c r="H33" s="20"/>
    </row>
    <row r="34" spans="1:8" x14ac:dyDescent="0.3">
      <c r="A34" s="12" t="s">
        <v>58</v>
      </c>
      <c r="B34" s="12" t="s">
        <v>59</v>
      </c>
      <c r="C34" s="17">
        <f>C27*C13</f>
        <v>77.907293557811357</v>
      </c>
      <c r="D34" s="12" t="s">
        <v>22</v>
      </c>
      <c r="E34" s="18"/>
      <c r="H34" s="20"/>
    </row>
    <row r="35" spans="1:8" x14ac:dyDescent="0.3">
      <c r="A35" s="12" t="s">
        <v>60</v>
      </c>
      <c r="B35" s="12" t="s">
        <v>21</v>
      </c>
      <c r="C35" s="17">
        <f>C34-C33</f>
        <v>29.16555267875362</v>
      </c>
      <c r="D35" s="12" t="s">
        <v>22</v>
      </c>
      <c r="E35" s="18">
        <f>C11</f>
        <v>36.144578313253014</v>
      </c>
      <c r="H35" s="20"/>
    </row>
    <row r="36" spans="1:8" x14ac:dyDescent="0.3">
      <c r="A36" s="12" t="s">
        <v>61</v>
      </c>
      <c r="B36" s="12" t="s">
        <v>62</v>
      </c>
      <c r="C36" s="17">
        <f>C33/C34*100</f>
        <v>62.563771186440675</v>
      </c>
      <c r="D36" s="12" t="s">
        <v>63</v>
      </c>
      <c r="E36" s="18">
        <v>60</v>
      </c>
      <c r="H36" s="20"/>
    </row>
    <row r="38" spans="1:8" x14ac:dyDescent="0.3">
      <c r="A38" t="s">
        <v>64</v>
      </c>
      <c r="C38" s="15">
        <v>15</v>
      </c>
      <c r="D38" t="s">
        <v>65</v>
      </c>
      <c r="H38" s="5"/>
    </row>
    <row r="39" spans="1:8" x14ac:dyDescent="0.3">
      <c r="A39" t="s">
        <v>66</v>
      </c>
      <c r="C39" s="15">
        <v>5.5</v>
      </c>
      <c r="D39" t="s">
        <v>65</v>
      </c>
      <c r="H39" s="5"/>
    </row>
    <row r="41" spans="1:8" x14ac:dyDescent="0.3">
      <c r="A41" t="s">
        <v>67</v>
      </c>
    </row>
    <row r="42" spans="1:8" x14ac:dyDescent="0.3">
      <c r="A42" s="12" t="s">
        <v>68</v>
      </c>
      <c r="B42" s="12" t="s">
        <v>69</v>
      </c>
      <c r="C42" s="17">
        <f>1000000/(6.28*VLOOKUP(ТипТранзистора,Параметры_БТ[],4,FALSE)*VLOOKUP(ТипТранзистора,Параметры_БТ[],9,FALSE))</f>
        <v>7.9617834394904454</v>
      </c>
      <c r="D42" s="12" t="s">
        <v>44</v>
      </c>
      <c r="E42" s="18"/>
      <c r="H42" s="20"/>
    </row>
    <row r="43" spans="1:8" x14ac:dyDescent="0.3">
      <c r="A43" s="12" t="s">
        <v>70</v>
      </c>
      <c r="B43" s="12" t="s">
        <v>71</v>
      </c>
      <c r="C43" s="17">
        <f>2*C42</f>
        <v>15.923566878980891</v>
      </c>
      <c r="D43" s="12" t="s">
        <v>44</v>
      </c>
      <c r="E43" s="18"/>
      <c r="H43" s="20"/>
    </row>
    <row r="44" spans="1:8" x14ac:dyDescent="0.3">
      <c r="A44" s="12"/>
      <c r="B44" s="12" t="s">
        <v>72</v>
      </c>
      <c r="C44" s="17">
        <f>1/(1+C24/C43)</f>
        <v>0.6288042658081392</v>
      </c>
      <c r="D44" s="12"/>
      <c r="E44" s="18"/>
      <c r="H44" s="20"/>
    </row>
    <row r="45" spans="1:8" x14ac:dyDescent="0.3">
      <c r="A45" s="12"/>
      <c r="B45" s="12" t="s">
        <v>73</v>
      </c>
      <c r="C45" s="17">
        <f>VLOOKUP(ТипТранзистора,Параметры_БТ[],6,FALSE)+VLOOKUP(ТипТранзистора,Параметры_БТ[],7,FALSE)+C38</f>
        <v>25</v>
      </c>
      <c r="D45" s="12" t="s">
        <v>65</v>
      </c>
      <c r="E45" s="18"/>
      <c r="H45" s="20"/>
    </row>
    <row r="46" spans="1:8" x14ac:dyDescent="0.3">
      <c r="A46" s="12"/>
      <c r="B46" s="12" t="s">
        <v>74</v>
      </c>
      <c r="C46" s="17">
        <f>VLOOKUP(ТипТранзистора,Параметры_БТ[],6,FALSE)+$C$39</f>
        <v>10.5</v>
      </c>
      <c r="D46" s="12" t="s">
        <v>65</v>
      </c>
      <c r="E46" s="18"/>
      <c r="H46" s="20"/>
    </row>
    <row r="47" spans="1:8" x14ac:dyDescent="0.3">
      <c r="A47" s="12"/>
      <c r="B47" s="12" t="s">
        <v>75</v>
      </c>
      <c r="C47" s="17">
        <f>C44*6.28*VLOOKUP(ТипТранзистора,Параметры_БТ[],4,FALSE)*C46/1000</f>
        <v>4.1463353287388696</v>
      </c>
      <c r="D47" s="12" t="s">
        <v>44</v>
      </c>
      <c r="E47" s="18"/>
      <c r="H47" s="20"/>
    </row>
    <row r="48" spans="1:8" x14ac:dyDescent="0.3">
      <c r="A48" s="12"/>
      <c r="B48" s="12" t="s">
        <v>76</v>
      </c>
      <c r="C48" s="17">
        <f>VLOOKUP(ТипТранзистора,Параметры_БТ[],10,FALSE)+$C$47</f>
        <v>4.6463353287388696</v>
      </c>
      <c r="D48" s="12" t="s">
        <v>44</v>
      </c>
      <c r="E48" s="18"/>
      <c r="H48" s="20"/>
    </row>
    <row r="49" spans="1:8" x14ac:dyDescent="0.3">
      <c r="A49" s="12"/>
      <c r="B49" s="12" t="s">
        <v>77</v>
      </c>
      <c r="C49" s="21">
        <f>6.28*C4*C45/C48/1000</f>
        <v>1.0137021258167371</v>
      </c>
      <c r="D49" s="12"/>
      <c r="E49" s="22">
        <v>1</v>
      </c>
      <c r="H49" s="20"/>
    </row>
    <row r="50" spans="1:8" x14ac:dyDescent="0.3">
      <c r="A50" s="12"/>
      <c r="B50" s="12" t="s">
        <v>78</v>
      </c>
      <c r="C50" s="17">
        <f>$C$27/0.025*2</f>
        <v>164.01535485855021</v>
      </c>
      <c r="D50" s="12" t="s">
        <v>29</v>
      </c>
      <c r="E50" s="18"/>
      <c r="H50" s="20"/>
    </row>
    <row r="51" spans="1:8" x14ac:dyDescent="0.3">
      <c r="A51" s="12"/>
      <c r="B51" s="12" t="s">
        <v>79</v>
      </c>
      <c r="C51" s="17">
        <f>1000000*C50/(6.28*VLOOKUP(ТипТранзистора,Параметры_БТ[],4,FALSE))</f>
        <v>261170.9472269908</v>
      </c>
      <c r="D51" s="12" t="s">
        <v>80</v>
      </c>
      <c r="E51" s="18"/>
      <c r="H51" s="20"/>
    </row>
    <row r="52" spans="1:8" x14ac:dyDescent="0.3">
      <c r="A52" s="12"/>
      <c r="B52" s="12" t="s">
        <v>81</v>
      </c>
      <c r="C52" s="17">
        <f>$C$28/$C$44</f>
        <v>5.1213694915254235</v>
      </c>
      <c r="D52" s="12" t="s">
        <v>33</v>
      </c>
      <c r="E52" s="18"/>
      <c r="H52" s="20"/>
    </row>
    <row r="53" spans="1:8" x14ac:dyDescent="0.3">
      <c r="A53" s="12"/>
      <c r="B53" s="12" t="s">
        <v>82</v>
      </c>
      <c r="C53" s="17">
        <f>C52/(0.5*C50)</f>
        <v>6.2449878500000007E-2</v>
      </c>
      <c r="D53" s="12" t="s">
        <v>17</v>
      </c>
      <c r="E53" s="18"/>
      <c r="H53" s="20"/>
    </row>
    <row r="54" spans="1:8" x14ac:dyDescent="0.3">
      <c r="A54" s="12"/>
      <c r="B54" s="12" t="s">
        <v>83</v>
      </c>
      <c r="C54" s="17">
        <f>1000000000/(6.28*C4*6.28*C4*$C$45)</f>
        <v>1126.9332539972322</v>
      </c>
      <c r="D54" s="12" t="s">
        <v>80</v>
      </c>
      <c r="E54" s="18"/>
      <c r="H54" s="20"/>
    </row>
    <row r="55" spans="1:8" x14ac:dyDescent="0.3">
      <c r="A55" s="12"/>
      <c r="B55" s="12" t="s">
        <v>84</v>
      </c>
      <c r="C55" s="17">
        <f>C51*C54/(C51-C54)</f>
        <v>1131.8169601805118</v>
      </c>
      <c r="D55" s="12" t="s">
        <v>80</v>
      </c>
      <c r="E55" s="18"/>
      <c r="H55" s="20"/>
    </row>
    <row r="56" spans="1:8" x14ac:dyDescent="0.3">
      <c r="A56" s="12"/>
      <c r="B56" s="12" t="s">
        <v>85</v>
      </c>
      <c r="C56" s="17">
        <f>1000000*VLOOKUP(ТипТранзистора,Параметры_БТ[],5,FALSE)/(C44*6.28*VLOOKUP(ТипТранзистора,Параметры_БТ[],4,FALSE)*C55)</f>
        <v>67.122779839618431</v>
      </c>
      <c r="D56" s="12" t="s">
        <v>44</v>
      </c>
      <c r="E56" s="18"/>
      <c r="H56" s="20"/>
    </row>
    <row r="57" spans="1:8" x14ac:dyDescent="0.3">
      <c r="A57" s="12"/>
      <c r="B57" s="12" t="s">
        <v>86</v>
      </c>
      <c r="C57" s="21">
        <f>2*C48</f>
        <v>9.2926706574777391</v>
      </c>
      <c r="D57" s="12" t="s">
        <v>44</v>
      </c>
      <c r="E57" s="22" t="s">
        <v>87</v>
      </c>
      <c r="H57" s="20"/>
    </row>
    <row r="58" spans="1:8" x14ac:dyDescent="0.3">
      <c r="A58" s="12"/>
      <c r="B58" s="12" t="s">
        <v>88</v>
      </c>
      <c r="C58" s="17">
        <f>C57/(6.28*C4)</f>
        <v>4.9324154232896704E-2</v>
      </c>
      <c r="D58" s="12" t="s">
        <v>89</v>
      </c>
      <c r="E58" s="18"/>
      <c r="H58" s="20"/>
    </row>
    <row r="59" spans="1:8" x14ac:dyDescent="0.3">
      <c r="A59" s="12"/>
      <c r="B59" s="12" t="s">
        <v>90</v>
      </c>
      <c r="C59" s="17">
        <f>1000000/(6.28*C4*C57)</f>
        <v>571.18731761528363</v>
      </c>
      <c r="D59" s="12" t="s">
        <v>80</v>
      </c>
      <c r="E59" s="18"/>
      <c r="H59" s="20"/>
    </row>
    <row r="60" spans="1:8" x14ac:dyDescent="0.3">
      <c r="A60" s="12"/>
      <c r="B60" s="12" t="s">
        <v>91</v>
      </c>
      <c r="C60" s="17">
        <f>C53*C51/C54</f>
        <v>14.472990183050849</v>
      </c>
      <c r="D60" s="12" t="s">
        <v>17</v>
      </c>
      <c r="E60" s="18"/>
      <c r="H60" s="20"/>
    </row>
    <row r="61" spans="1:8" x14ac:dyDescent="0.3">
      <c r="A61" s="12"/>
      <c r="B61" s="12" t="s">
        <v>92</v>
      </c>
      <c r="C61" s="17">
        <f>C60*C60/(2*C57)</f>
        <v>11.270572936431865</v>
      </c>
      <c r="D61" s="12" t="s">
        <v>22</v>
      </c>
      <c r="E61" s="18"/>
      <c r="H61" s="20"/>
    </row>
    <row r="62" spans="1:8" x14ac:dyDescent="0.3">
      <c r="A62" s="12"/>
      <c r="B62" s="12" t="s">
        <v>93</v>
      </c>
      <c r="C62" s="17">
        <f>C33/C61</f>
        <v>4.3246906039267259</v>
      </c>
      <c r="D62" s="12"/>
      <c r="E62" s="18">
        <v>1.5</v>
      </c>
    </row>
  </sheetData>
  <mergeCells count="3">
    <mergeCell ref="B1:C1"/>
    <mergeCell ref="A10:D10"/>
    <mergeCell ref="A12:D12"/>
  </mergeCells>
  <conditionalFormatting sqref="C62">
    <cfRule type="cellIs" dxfId="52" priority="16" operator="lessThan">
      <formula>1.3</formula>
    </cfRule>
  </conditionalFormatting>
  <conditionalFormatting sqref="C62">
    <cfRule type="cellIs" dxfId="51" priority="14" operator="greaterThan">
      <formula>1.31</formula>
    </cfRule>
  </conditionalFormatting>
  <conditionalFormatting sqref="C31:C32">
    <cfRule type="cellIs" dxfId="50" priority="12" operator="greaterThan">
      <formula>$E$31</formula>
    </cfRule>
  </conditionalFormatting>
  <conditionalFormatting sqref="C36">
    <cfRule type="cellIs" dxfId="49" priority="11" operator="lessThan">
      <formula>$E$36</formula>
    </cfRule>
  </conditionalFormatting>
  <conditionalFormatting sqref="C27">
    <cfRule type="cellIs" dxfId="48" priority="10" operator="greaterThan">
      <formula>$E$27</formula>
    </cfRule>
  </conditionalFormatting>
  <conditionalFormatting sqref="C62">
    <cfRule type="cellIs" dxfId="47" priority="9" operator="lessThan">
      <formula>$E$62</formula>
    </cfRule>
  </conditionalFormatting>
  <conditionalFormatting sqref="C18">
    <cfRule type="cellIs" dxfId="46" priority="8" operator="greaterThan">
      <formula>$E$27</formula>
    </cfRule>
  </conditionalFormatting>
  <conditionalFormatting sqref="C19">
    <cfRule type="cellIs" dxfId="45" priority="7" operator="greaterThan">
      <formula>$E$19</formula>
    </cfRule>
  </conditionalFormatting>
  <conditionalFormatting sqref="C28">
    <cfRule type="cellIs" dxfId="44" priority="6" operator="greaterThan">
      <formula>$E$28</formula>
    </cfRule>
  </conditionalFormatting>
  <conditionalFormatting sqref="C17">
    <cfRule type="cellIs" dxfId="43" priority="5" operator="greaterThan">
      <formula>$E$17</formula>
    </cfRule>
  </conditionalFormatting>
  <conditionalFormatting sqref="C26">
    <cfRule type="cellIs" dxfId="42" priority="4" operator="greaterThan">
      <formula>$E$26</formula>
    </cfRule>
  </conditionalFormatting>
  <conditionalFormatting sqref="C35">
    <cfRule type="cellIs" dxfId="41" priority="3" operator="greaterThan">
      <formula>$E$35</formula>
    </cfRule>
  </conditionalFormatting>
  <conditionalFormatting sqref="C24">
    <cfRule type="cellIs" dxfId="40" priority="1" operator="greaterThan">
      <formula>$E$24</formula>
    </cfRule>
  </conditionalFormatting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tabSelected="1" topLeftCell="A19" workbookViewId="0">
      <selection activeCell="C55" sqref="C55"/>
    </sheetView>
  </sheetViews>
  <sheetFormatPr defaultRowHeight="14.4" x14ac:dyDescent="0.3"/>
  <cols>
    <col min="1" max="1" width="4.88671875" customWidth="1"/>
    <col min="2" max="2" width="28.109375" customWidth="1"/>
    <col min="3" max="3" width="11.21875" style="20" customWidth="1"/>
    <col min="5" max="5" width="12.88671875" style="23" customWidth="1"/>
    <col min="7" max="7" width="16.5546875" customWidth="1"/>
  </cols>
  <sheetData>
    <row r="1" spans="1:8" ht="28.8" x14ac:dyDescent="0.3">
      <c r="A1" s="12" t="s">
        <v>4</v>
      </c>
      <c r="B1" s="59" t="s">
        <v>5</v>
      </c>
      <c r="C1" s="59"/>
      <c r="D1" s="13" t="s">
        <v>6</v>
      </c>
      <c r="E1" s="14" t="s">
        <v>7</v>
      </c>
    </row>
    <row r="3" spans="1:8" x14ac:dyDescent="0.3">
      <c r="A3" s="24" t="s">
        <v>8</v>
      </c>
      <c r="B3" s="25"/>
      <c r="C3" s="26" t="s">
        <v>94</v>
      </c>
    </row>
    <row r="4" spans="1:8" x14ac:dyDescent="0.3">
      <c r="A4" t="s">
        <v>95</v>
      </c>
      <c r="C4" s="27">
        <v>535</v>
      </c>
      <c r="D4" t="s">
        <v>22</v>
      </c>
      <c r="E4" s="23">
        <f>C4*1.3</f>
        <v>695.5</v>
      </c>
      <c r="H4" s="5"/>
    </row>
    <row r="5" spans="1:8" x14ac:dyDescent="0.3">
      <c r="A5" t="s">
        <v>10</v>
      </c>
      <c r="C5" s="27">
        <v>100</v>
      </c>
      <c r="D5" t="s">
        <v>11</v>
      </c>
      <c r="H5" s="5"/>
    </row>
    <row r="6" spans="1:8" x14ac:dyDescent="0.3">
      <c r="A6" t="s">
        <v>12</v>
      </c>
      <c r="C6" s="27">
        <v>60</v>
      </c>
      <c r="D6" t="s">
        <v>96</v>
      </c>
    </row>
    <row r="7" spans="1:8" x14ac:dyDescent="0.3">
      <c r="A7" t="s">
        <v>14</v>
      </c>
      <c r="C7" s="20">
        <v>90</v>
      </c>
      <c r="D7" t="s">
        <v>97</v>
      </c>
    </row>
    <row r="8" spans="1:8" x14ac:dyDescent="0.3">
      <c r="A8" t="s">
        <v>16</v>
      </c>
      <c r="C8" s="20">
        <f>VLOOKUP(Тип_БТ2,Параметры_БТ[],2,FALSE)/2</f>
        <v>30</v>
      </c>
      <c r="D8" t="s">
        <v>17</v>
      </c>
    </row>
    <row r="9" spans="1:8" x14ac:dyDescent="0.3">
      <c r="A9" t="s">
        <v>98</v>
      </c>
      <c r="C9" s="28">
        <v>4</v>
      </c>
    </row>
    <row r="10" spans="1:8" x14ac:dyDescent="0.3">
      <c r="A10" t="s">
        <v>18</v>
      </c>
    </row>
    <row r="11" spans="1:8" x14ac:dyDescent="0.3">
      <c r="E11" s="29"/>
    </row>
    <row r="12" spans="1:8" x14ac:dyDescent="0.3">
      <c r="A12" s="12" t="s">
        <v>20</v>
      </c>
      <c r="B12" s="12" t="s">
        <v>57</v>
      </c>
      <c r="C12" s="30">
        <f>C4/2/C9*1.1</f>
        <v>73.5625</v>
      </c>
      <c r="D12" s="12" t="s">
        <v>22</v>
      </c>
      <c r="E12" s="13"/>
    </row>
    <row r="13" spans="1:8" x14ac:dyDescent="0.3">
      <c r="A13" s="12" t="s">
        <v>24</v>
      </c>
      <c r="B13" s="12" t="s">
        <v>25</v>
      </c>
      <c r="C13" s="31">
        <v>30</v>
      </c>
      <c r="D13" s="12" t="s">
        <v>17</v>
      </c>
      <c r="E13" s="13"/>
      <c r="H13" s="20"/>
    </row>
    <row r="14" spans="1:8" x14ac:dyDescent="0.3">
      <c r="A14" s="12" t="s">
        <v>27</v>
      </c>
      <c r="B14" s="12" t="s">
        <v>28</v>
      </c>
      <c r="C14" s="30">
        <f>1/VLOOKUP(Тип_БТ2,Параметры_БТ[],11,FALSE)</f>
        <v>3.3333333333333335</v>
      </c>
      <c r="D14" s="12" t="s">
        <v>29</v>
      </c>
      <c r="E14" s="13"/>
      <c r="H14" s="20"/>
    </row>
    <row r="15" spans="1:8" x14ac:dyDescent="0.3">
      <c r="A15" s="12"/>
      <c r="B15" s="12"/>
      <c r="C15" s="30"/>
      <c r="D15" s="12"/>
      <c r="E15" s="13"/>
      <c r="H15" s="20"/>
    </row>
    <row r="16" spans="1:8" x14ac:dyDescent="0.3">
      <c r="A16" s="12" t="s">
        <v>31</v>
      </c>
      <c r="B16" s="12" t="s">
        <v>32</v>
      </c>
      <c r="C16" s="30">
        <f>0.5*C14*C13*(1-SQRT(1-16*C12/(C14*C13*C13)))</f>
        <v>11.023511360479549</v>
      </c>
      <c r="D16" s="12" t="s">
        <v>33</v>
      </c>
      <c r="E16" s="13">
        <f>E17/0.316</f>
        <v>47.468354430379748</v>
      </c>
      <c r="H16" s="20"/>
    </row>
    <row r="17" spans="1:8" x14ac:dyDescent="0.3">
      <c r="A17" s="12" t="s">
        <v>34</v>
      </c>
      <c r="B17" s="12" t="s">
        <v>35</v>
      </c>
      <c r="C17" s="30">
        <f>C16/3.1415</f>
        <v>3.5089961357566604</v>
      </c>
      <c r="D17" s="12" t="s">
        <v>33</v>
      </c>
      <c r="E17" s="18">
        <f>VLOOKUP(Тип_БТ2,Параметры_БТ[],3,FALSE)</f>
        <v>15</v>
      </c>
      <c r="H17" s="20"/>
    </row>
    <row r="18" spans="1:8" x14ac:dyDescent="0.3">
      <c r="A18" s="12" t="s">
        <v>36</v>
      </c>
      <c r="B18" s="12" t="s">
        <v>37</v>
      </c>
      <c r="C18" s="30">
        <f>C16*0.5</f>
        <v>5.5117556802397747</v>
      </c>
      <c r="D18" s="12" t="s">
        <v>33</v>
      </c>
      <c r="E18" s="13">
        <f>E17/0.316*0.5</f>
        <v>23.734177215189874</v>
      </c>
      <c r="H18" s="20"/>
    </row>
    <row r="19" spans="1:8" x14ac:dyDescent="0.3">
      <c r="A19" s="12" t="s">
        <v>38</v>
      </c>
      <c r="B19" s="12" t="s">
        <v>39</v>
      </c>
      <c r="C19" s="30">
        <f>C16/C14</f>
        <v>3.3070534081438647</v>
      </c>
      <c r="D19" s="12" t="s">
        <v>17</v>
      </c>
      <c r="E19" s="13"/>
      <c r="H19" s="20"/>
    </row>
    <row r="20" spans="1:8" x14ac:dyDescent="0.3">
      <c r="A20" s="12" t="s">
        <v>40</v>
      </c>
      <c r="B20" s="12" t="s">
        <v>41</v>
      </c>
      <c r="C20" s="30">
        <f>C13-C19</f>
        <v>26.692946591856135</v>
      </c>
      <c r="D20" s="12" t="s">
        <v>17</v>
      </c>
      <c r="E20" s="13"/>
      <c r="H20" s="20"/>
    </row>
    <row r="21" spans="1:8" x14ac:dyDescent="0.3">
      <c r="A21" s="12" t="s">
        <v>42</v>
      </c>
      <c r="B21" s="12" t="s">
        <v>43</v>
      </c>
      <c r="C21" s="30">
        <f>C20/C18</f>
        <v>4.8429117944311582</v>
      </c>
      <c r="D21" s="12" t="s">
        <v>44</v>
      </c>
      <c r="E21" s="13"/>
      <c r="H21" s="20"/>
    </row>
    <row r="22" spans="1:8" x14ac:dyDescent="0.3">
      <c r="A22" s="12"/>
      <c r="B22" s="12"/>
      <c r="C22" s="30"/>
      <c r="D22" s="12"/>
      <c r="E22" s="13"/>
    </row>
    <row r="23" spans="1:8" x14ac:dyDescent="0.3">
      <c r="A23" s="12" t="s">
        <v>46</v>
      </c>
      <c r="B23" s="12" t="s">
        <v>43</v>
      </c>
      <c r="C23" s="31">
        <v>4.7</v>
      </c>
      <c r="D23" s="12" t="s">
        <v>44</v>
      </c>
      <c r="E23" s="13"/>
      <c r="H23" s="20"/>
    </row>
    <row r="24" spans="1:8" x14ac:dyDescent="0.3">
      <c r="A24" s="12" t="s">
        <v>48</v>
      </c>
      <c r="B24" s="12" t="s">
        <v>32</v>
      </c>
      <c r="C24" s="30">
        <f>2*C14*C13/(2+C14*C23)</f>
        <v>11.320754716981131</v>
      </c>
      <c r="D24" s="12" t="s">
        <v>33</v>
      </c>
      <c r="E24" s="13">
        <f>E25/0.316</f>
        <v>47.468354430379748</v>
      </c>
      <c r="H24" s="20"/>
    </row>
    <row r="25" spans="1:8" x14ac:dyDescent="0.3">
      <c r="A25" s="12" t="s">
        <v>49</v>
      </c>
      <c r="B25" s="12" t="s">
        <v>35</v>
      </c>
      <c r="C25" s="30">
        <f>C24/3.1415</f>
        <v>3.6036144252685438</v>
      </c>
      <c r="D25" s="12" t="s">
        <v>33</v>
      </c>
      <c r="E25" s="18">
        <f>VLOOKUP(Тип_БТ2,Параметры_БТ[],3,FALSE)</f>
        <v>15</v>
      </c>
      <c r="H25" s="20"/>
    </row>
    <row r="26" spans="1:8" x14ac:dyDescent="0.3">
      <c r="A26" s="12" t="s">
        <v>50</v>
      </c>
      <c r="B26" s="12" t="s">
        <v>37</v>
      </c>
      <c r="C26" s="30">
        <f>C24*0.5</f>
        <v>5.6603773584905657</v>
      </c>
      <c r="D26" s="12" t="s">
        <v>33</v>
      </c>
      <c r="E26" s="13">
        <f>E25/0.316*0.5</f>
        <v>23.734177215189874</v>
      </c>
      <c r="H26" s="20"/>
    </row>
    <row r="27" spans="1:8" x14ac:dyDescent="0.3">
      <c r="A27" s="12" t="s">
        <v>51</v>
      </c>
      <c r="B27" s="12" t="s">
        <v>39</v>
      </c>
      <c r="C27" s="30">
        <f>C24/C14</f>
        <v>3.3962264150943393</v>
      </c>
      <c r="D27" s="12" t="s">
        <v>17</v>
      </c>
      <c r="E27" s="13"/>
      <c r="H27" s="20"/>
    </row>
    <row r="28" spans="1:8" x14ac:dyDescent="0.3">
      <c r="A28" s="12" t="s">
        <v>52</v>
      </c>
      <c r="B28" s="12" t="s">
        <v>41</v>
      </c>
      <c r="C28" s="30">
        <f>C13-C27</f>
        <v>26.60377358490566</v>
      </c>
      <c r="D28" s="12" t="s">
        <v>17</v>
      </c>
      <c r="E28" s="13"/>
      <c r="H28" s="20"/>
    </row>
    <row r="29" spans="1:8" x14ac:dyDescent="0.3">
      <c r="A29" s="12" t="s">
        <v>53</v>
      </c>
      <c r="B29" s="12" t="s">
        <v>54</v>
      </c>
      <c r="C29" s="30">
        <f>C28+C13</f>
        <v>56.60377358490566</v>
      </c>
      <c r="D29" s="12" t="s">
        <v>17</v>
      </c>
      <c r="E29" s="18">
        <f>VLOOKUP(Тип_БТ2,Параметры_БТ[],2,FALSE)</f>
        <v>60</v>
      </c>
      <c r="H29" s="20"/>
    </row>
    <row r="30" spans="1:8" x14ac:dyDescent="0.3">
      <c r="A30" s="12" t="s">
        <v>56</v>
      </c>
      <c r="B30" s="12" t="s">
        <v>57</v>
      </c>
      <c r="C30" s="30">
        <f>0.5*C28*C26</f>
        <v>75.2936988252047</v>
      </c>
      <c r="D30" s="12" t="s">
        <v>22</v>
      </c>
      <c r="E30" s="32">
        <f>C12</f>
        <v>73.5625</v>
      </c>
      <c r="H30" s="20"/>
    </row>
    <row r="31" spans="1:8" x14ac:dyDescent="0.3">
      <c r="A31" s="12" t="s">
        <v>58</v>
      </c>
      <c r="B31" s="12" t="s">
        <v>59</v>
      </c>
      <c r="C31" s="30">
        <f>C25*C13</f>
        <v>108.10843275805631</v>
      </c>
      <c r="D31" s="12" t="s">
        <v>22</v>
      </c>
      <c r="E31" s="13"/>
      <c r="H31" s="20"/>
    </row>
    <row r="32" spans="1:8" x14ac:dyDescent="0.3">
      <c r="A32" s="12" t="s">
        <v>60</v>
      </c>
      <c r="B32" s="12" t="s">
        <v>21</v>
      </c>
      <c r="C32" s="30">
        <f>C31-C30</f>
        <v>32.81473393285161</v>
      </c>
      <c r="D32" s="12" t="s">
        <v>22</v>
      </c>
      <c r="E32" s="32">
        <f>(VLOOKUP(Тип_БТ2,Параметры_БТ[],13,FALSE)*0.8-C6)/VLOOKUP(Тип_БТ2,Параметры_БТ[],12,FALSE)</f>
        <v>85</v>
      </c>
      <c r="H32" s="20"/>
    </row>
    <row r="33" spans="1:8" x14ac:dyDescent="0.3">
      <c r="A33" s="12" t="s">
        <v>61</v>
      </c>
      <c r="B33" s="12" t="s">
        <v>62</v>
      </c>
      <c r="C33" s="30">
        <f>C30/C31*100</f>
        <v>69.646462264150955</v>
      </c>
      <c r="D33" s="12" t="s">
        <v>63</v>
      </c>
      <c r="E33" s="18">
        <v>60</v>
      </c>
      <c r="H33" s="20"/>
    </row>
    <row r="34" spans="1:8" x14ac:dyDescent="0.3">
      <c r="A34" s="12" t="s">
        <v>68</v>
      </c>
      <c r="B34" s="12" t="s">
        <v>99</v>
      </c>
      <c r="C34" s="30">
        <f>C30*2*C9</f>
        <v>602.3495906016376</v>
      </c>
      <c r="D34" s="12" t="s">
        <v>22</v>
      </c>
      <c r="E34" s="18">
        <f>E4</f>
        <v>695.5</v>
      </c>
      <c r="H34" s="20"/>
    </row>
    <row r="36" spans="1:8" x14ac:dyDescent="0.3">
      <c r="A36" t="s">
        <v>64</v>
      </c>
      <c r="C36" s="27">
        <v>3.2</v>
      </c>
      <c r="D36" t="s">
        <v>65</v>
      </c>
      <c r="H36" s="5"/>
    </row>
    <row r="37" spans="1:8" x14ac:dyDescent="0.3">
      <c r="A37" t="s">
        <v>66</v>
      </c>
      <c r="C37" s="27">
        <v>2</v>
      </c>
      <c r="D37" t="s">
        <v>65</v>
      </c>
      <c r="H37" s="5"/>
    </row>
    <row r="39" spans="1:8" x14ac:dyDescent="0.3">
      <c r="A39" t="s">
        <v>67</v>
      </c>
    </row>
    <row r="40" spans="1:8" x14ac:dyDescent="0.3">
      <c r="A40" s="12" t="s">
        <v>68</v>
      </c>
      <c r="B40" s="12" t="s">
        <v>69</v>
      </c>
      <c r="C40" s="30">
        <f>1000000/(6.28*VLOOKUP(Тип_БТ2,Параметры_БТ[],4,FALSE)*VLOOKUP(Тип_БТ2,Параметры_БТ[],9,FALSE))</f>
        <v>1.9904458598726114</v>
      </c>
      <c r="D40" s="12" t="s">
        <v>44</v>
      </c>
      <c r="E40" s="13"/>
      <c r="H40" s="20"/>
    </row>
    <row r="41" spans="1:8" x14ac:dyDescent="0.3">
      <c r="A41" s="12" t="s">
        <v>70</v>
      </c>
      <c r="B41" s="12" t="s">
        <v>71</v>
      </c>
      <c r="C41" s="30">
        <f>2*C40</f>
        <v>3.9808917197452227</v>
      </c>
      <c r="D41" s="12" t="s">
        <v>44</v>
      </c>
      <c r="E41" s="13"/>
      <c r="H41" s="20"/>
    </row>
    <row r="42" spans="1:8" x14ac:dyDescent="0.3">
      <c r="A42" s="12"/>
      <c r="B42" s="12" t="s">
        <v>72</v>
      </c>
      <c r="C42" s="30">
        <f>1/(1+C23/C41)</f>
        <v>0.45858096705554324</v>
      </c>
      <c r="D42" s="12"/>
      <c r="E42" s="13"/>
      <c r="H42" s="20"/>
    </row>
    <row r="43" spans="1:8" x14ac:dyDescent="0.3">
      <c r="A43" s="12"/>
      <c r="B43" s="12" t="s">
        <v>73</v>
      </c>
      <c r="C43" s="30">
        <f>VLOOKUP(Тип_БТ2,Параметры_БТ[],6,FALSE)+VLOOKUP(Тип_БТ2,Параметры_БТ[],7,FALSE)+C36</f>
        <v>5</v>
      </c>
      <c r="D43" s="12" t="s">
        <v>65</v>
      </c>
      <c r="E43" s="13"/>
      <c r="H43" s="20"/>
    </row>
    <row r="44" spans="1:8" x14ac:dyDescent="0.3">
      <c r="A44" s="12"/>
      <c r="B44" s="12" t="s">
        <v>74</v>
      </c>
      <c r="C44" s="30">
        <f>VLOOKUP(Тип_БТ2,Параметры_БТ[],6,FALSE)+$C$37</f>
        <v>2.2999999999999998</v>
      </c>
      <c r="D44" s="12" t="s">
        <v>65</v>
      </c>
      <c r="E44" s="13"/>
      <c r="H44" s="20"/>
    </row>
    <row r="45" spans="1:8" x14ac:dyDescent="0.3">
      <c r="A45" s="12"/>
      <c r="B45" s="12" t="s">
        <v>75</v>
      </c>
      <c r="C45" s="30">
        <f>C42*6.28*VLOOKUP(Тип_БТ2,Параметры_БТ[],4,FALSE)*C44/1000</f>
        <v>2.6494973952601066</v>
      </c>
      <c r="D45" s="12" t="s">
        <v>44</v>
      </c>
      <c r="E45" s="13"/>
      <c r="H45" s="20"/>
    </row>
    <row r="46" spans="1:8" x14ac:dyDescent="0.3">
      <c r="A46" s="12"/>
      <c r="B46" s="12" t="s">
        <v>76</v>
      </c>
      <c r="C46" s="30">
        <f>VLOOKUP(Тип_БТ2,Параметры_БТ[],10,FALSE)+$C$45</f>
        <v>3.1494973952601066</v>
      </c>
      <c r="D46" s="12" t="s">
        <v>44</v>
      </c>
      <c r="E46" s="13"/>
      <c r="H46" s="20"/>
    </row>
    <row r="47" spans="1:8" x14ac:dyDescent="0.3">
      <c r="A47" s="12"/>
      <c r="B47" s="12" t="s">
        <v>77</v>
      </c>
      <c r="C47" s="33">
        <f>6.28*C5*C43/C46/1000</f>
        <v>0.99698447273701518</v>
      </c>
      <c r="D47" s="12"/>
      <c r="E47" s="34">
        <v>1</v>
      </c>
      <c r="H47" s="20"/>
    </row>
    <row r="48" spans="1:8" x14ac:dyDescent="0.3">
      <c r="A48" s="12"/>
      <c r="B48" s="12" t="s">
        <v>78</v>
      </c>
      <c r="C48" s="30">
        <f>$C$25/0.025*2</f>
        <v>288.28915402148351</v>
      </c>
      <c r="D48" s="12" t="s">
        <v>29</v>
      </c>
      <c r="E48" s="13"/>
      <c r="H48" s="20"/>
    </row>
    <row r="49" spans="1:8" x14ac:dyDescent="0.3">
      <c r="A49" s="12"/>
      <c r="B49" s="12" t="s">
        <v>79</v>
      </c>
      <c r="C49" s="30">
        <f>1000000*C48/(6.28*VLOOKUP(Тип_БТ2,Параметры_БТ[],4,FALSE))</f>
        <v>114764.7906136479</v>
      </c>
      <c r="D49" s="12" t="s">
        <v>80</v>
      </c>
      <c r="E49" s="13"/>
      <c r="H49" s="20"/>
    </row>
    <row r="50" spans="1:8" x14ac:dyDescent="0.3">
      <c r="A50" s="12"/>
      <c r="B50" s="12" t="s">
        <v>81</v>
      </c>
      <c r="C50" s="30">
        <f>$C$26/$C$42</f>
        <v>12.34324528301887</v>
      </c>
      <c r="D50" s="12" t="s">
        <v>33</v>
      </c>
      <c r="E50" s="13"/>
      <c r="H50" s="20"/>
    </row>
    <row r="51" spans="1:8" x14ac:dyDescent="0.3">
      <c r="A51" s="12"/>
      <c r="B51" s="12" t="s">
        <v>82</v>
      </c>
      <c r="C51" s="30">
        <f>C50/(0.5*C48)</f>
        <v>8.5631007000000023E-2</v>
      </c>
      <c r="D51" s="12" t="s">
        <v>17</v>
      </c>
      <c r="E51" s="13"/>
      <c r="H51" s="20"/>
    </row>
    <row r="52" spans="1:8" x14ac:dyDescent="0.3">
      <c r="A52" s="12"/>
      <c r="B52" s="12" t="s">
        <v>83</v>
      </c>
      <c r="C52" s="30">
        <f>1000000000/(6.28*C5*6.28*C5*$C$43)</f>
        <v>507.1199642987545</v>
      </c>
      <c r="D52" s="12" t="s">
        <v>80</v>
      </c>
      <c r="E52" s="32"/>
      <c r="H52" s="20"/>
    </row>
    <row r="53" spans="1:8" x14ac:dyDescent="0.3">
      <c r="A53" s="12"/>
      <c r="B53" s="12" t="s">
        <v>84</v>
      </c>
      <c r="C53" s="30">
        <f>C49*C52/(C49-C52)</f>
        <v>509.37075986222794</v>
      </c>
      <c r="D53" s="12" t="s">
        <v>80</v>
      </c>
      <c r="E53" s="13"/>
      <c r="H53" s="20"/>
    </row>
    <row r="54" spans="1:8" x14ac:dyDescent="0.3">
      <c r="A54" s="12"/>
      <c r="B54" s="12" t="s">
        <v>85</v>
      </c>
      <c r="C54" s="30">
        <f>1000000*VLOOKUP(Тип_БТ2,Параметры_БТ[],5,FALSE)/(C42*6.28*VLOOKUP(Тип_БТ2,Параметры_БТ[],4,FALSE)*C53)</f>
        <v>85.21191638575003</v>
      </c>
      <c r="D54" s="12" t="s">
        <v>44</v>
      </c>
      <c r="E54" s="13"/>
      <c r="H54" s="20"/>
    </row>
    <row r="55" spans="1:8" x14ac:dyDescent="0.3">
      <c r="A55" s="12"/>
      <c r="B55" s="12" t="s">
        <v>86</v>
      </c>
      <c r="C55" s="33">
        <f>2*C46</f>
        <v>6.2989947905202133</v>
      </c>
      <c r="D55" s="12" t="s">
        <v>44</v>
      </c>
      <c r="E55" s="34" t="s">
        <v>87</v>
      </c>
      <c r="H55" s="20"/>
    </row>
    <row r="56" spans="1:8" x14ac:dyDescent="0.3">
      <c r="A56" s="12"/>
      <c r="B56" s="12" t="s">
        <v>88</v>
      </c>
      <c r="C56" s="30">
        <f>C55/(6.28*C5)</f>
        <v>1.0030246481720085E-2</v>
      </c>
      <c r="D56" s="12" t="s">
        <v>89</v>
      </c>
      <c r="E56" s="13"/>
      <c r="H56" s="20"/>
    </row>
    <row r="57" spans="1:8" x14ac:dyDescent="0.3">
      <c r="A57" s="12"/>
      <c r="B57" s="12" t="s">
        <v>90</v>
      </c>
      <c r="C57" s="30">
        <f>1000000/(6.28*C5*C55)</f>
        <v>252.79536511040388</v>
      </c>
      <c r="D57" s="12" t="s">
        <v>80</v>
      </c>
      <c r="E57" s="13"/>
      <c r="H57" s="20"/>
    </row>
    <row r="58" spans="1:8" x14ac:dyDescent="0.3">
      <c r="A58" s="12"/>
      <c r="B58" s="12" t="s">
        <v>91</v>
      </c>
      <c r="C58" s="30">
        <f>C51*C49/C52</f>
        <v>19.378895094339629</v>
      </c>
      <c r="D58" s="12" t="s">
        <v>17</v>
      </c>
      <c r="E58" s="13"/>
      <c r="H58" s="20"/>
    </row>
    <row r="59" spans="1:8" x14ac:dyDescent="0.3">
      <c r="A59" s="12"/>
      <c r="B59" s="12" t="s">
        <v>92</v>
      </c>
      <c r="C59" s="30">
        <f>C58*C58/(2*C55)</f>
        <v>29.809643249951456</v>
      </c>
      <c r="D59" s="12" t="s">
        <v>22</v>
      </c>
      <c r="E59" s="13"/>
      <c r="H59" s="20"/>
    </row>
    <row r="60" spans="1:8" x14ac:dyDescent="0.3">
      <c r="A60" s="12"/>
      <c r="B60" s="12" t="s">
        <v>93</v>
      </c>
      <c r="C60" s="30">
        <f>C30/C59</f>
        <v>2.5258168369836937</v>
      </c>
      <c r="D60" s="12"/>
      <c r="E60" s="13">
        <v>1.5</v>
      </c>
      <c r="H60" s="20"/>
    </row>
  </sheetData>
  <mergeCells count="1">
    <mergeCell ref="B1:C1"/>
  </mergeCells>
  <conditionalFormatting sqref="C60">
    <cfRule type="cellIs" dxfId="39" priority="17" operator="lessThan">
      <formula>1.3</formula>
    </cfRule>
  </conditionalFormatting>
  <conditionalFormatting sqref="H60">
    <cfRule type="cellIs" dxfId="38" priority="16" operator="lessThan">
      <formula>1.3</formula>
    </cfRule>
  </conditionalFormatting>
  <conditionalFormatting sqref="C60">
    <cfRule type="cellIs" dxfId="37" priority="15" operator="greaterThan">
      <formula>1.31</formula>
    </cfRule>
  </conditionalFormatting>
  <conditionalFormatting sqref="H60">
    <cfRule type="cellIs" dxfId="36" priority="14" operator="greaterThan">
      <formula>1.31</formula>
    </cfRule>
  </conditionalFormatting>
  <conditionalFormatting sqref="C29">
    <cfRule type="cellIs" dxfId="35" priority="13" operator="greaterThan">
      <formula>$E$29</formula>
    </cfRule>
  </conditionalFormatting>
  <conditionalFormatting sqref="C33:C34">
    <cfRule type="cellIs" dxfId="34" priority="12" operator="lessThan">
      <formula>$E$33</formula>
    </cfRule>
  </conditionalFormatting>
  <conditionalFormatting sqref="C25">
    <cfRule type="cellIs" dxfId="33" priority="11" operator="greaterThan">
      <formula>$E$25</formula>
    </cfRule>
  </conditionalFormatting>
  <conditionalFormatting sqref="C60">
    <cfRule type="cellIs" dxfId="32" priority="10" operator="lessThan">
      <formula>$E$60</formula>
    </cfRule>
  </conditionalFormatting>
  <conditionalFormatting sqref="C17">
    <cfRule type="cellIs" dxfId="31" priority="9" operator="greaterThan">
      <formula>$E$25</formula>
    </cfRule>
  </conditionalFormatting>
  <conditionalFormatting sqref="C18">
    <cfRule type="cellIs" dxfId="30" priority="8" operator="greaterThan">
      <formula>$E$18</formula>
    </cfRule>
  </conditionalFormatting>
  <conditionalFormatting sqref="C26">
    <cfRule type="cellIs" dxfId="29" priority="7" operator="greaterThan">
      <formula>$E$26</formula>
    </cfRule>
  </conditionalFormatting>
  <conditionalFormatting sqref="C16">
    <cfRule type="cellIs" dxfId="28" priority="6" operator="greaterThan">
      <formula>$E$16</formula>
    </cfRule>
  </conditionalFormatting>
  <conditionalFormatting sqref="C24">
    <cfRule type="cellIs" dxfId="27" priority="5" operator="greaterThan">
      <formula>$E$24</formula>
    </cfRule>
  </conditionalFormatting>
  <conditionalFormatting sqref="C32">
    <cfRule type="cellIs" dxfId="26" priority="4" operator="greaterThan">
      <formula>$E$32</formula>
    </cfRule>
  </conditionalFormatting>
  <conditionalFormatting sqref="C30">
    <cfRule type="cellIs" dxfId="25" priority="3" operator="lessThan">
      <formula>$E$30</formula>
    </cfRule>
  </conditionalFormatting>
  <conditionalFormatting sqref="C32">
    <cfRule type="cellIs" dxfId="24" priority="2" operator="greaterThan">
      <formula>$E$32</formula>
    </cfRule>
  </conditionalFormatting>
  <conditionalFormatting sqref="C34">
    <cfRule type="cellIs" dxfId="23" priority="1" operator="greaterThan">
      <formula>$E$34</formula>
    </cfRule>
  </conditionalFormatting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5"/>
  <sheetViews>
    <sheetView workbookViewId="0">
      <selection activeCell="C3" sqref="C3"/>
    </sheetView>
  </sheetViews>
  <sheetFormatPr defaultRowHeight="14.4" x14ac:dyDescent="0.3"/>
  <cols>
    <col min="1" max="1" width="4.88671875" customWidth="1"/>
    <col min="2" max="2" width="28.109375" customWidth="1"/>
    <col min="3" max="3" width="9" style="35" customWidth="1"/>
    <col min="5" max="5" width="12" style="11" customWidth="1"/>
    <col min="7" max="7" width="5.33203125" customWidth="1"/>
    <col min="8" max="8" width="29.44140625" customWidth="1"/>
    <col min="9" max="9" width="9.44140625" customWidth="1"/>
  </cols>
  <sheetData>
    <row r="1" spans="1:5" ht="28.8" x14ac:dyDescent="0.3">
      <c r="A1" s="12" t="s">
        <v>4</v>
      </c>
      <c r="B1" s="59" t="s">
        <v>5</v>
      </c>
      <c r="C1" s="59"/>
      <c r="D1" s="13" t="s">
        <v>6</v>
      </c>
      <c r="E1" s="14" t="s">
        <v>7</v>
      </c>
    </row>
    <row r="3" spans="1:5" x14ac:dyDescent="0.3">
      <c r="A3" t="s">
        <v>8</v>
      </c>
      <c r="C3" s="36" t="s">
        <v>100</v>
      </c>
    </row>
    <row r="4" spans="1:5" x14ac:dyDescent="0.3">
      <c r="A4" t="s">
        <v>10</v>
      </c>
      <c r="C4" s="36">
        <v>50</v>
      </c>
      <c r="D4" t="s">
        <v>11</v>
      </c>
    </row>
    <row r="5" spans="1:5" x14ac:dyDescent="0.3">
      <c r="A5" t="s">
        <v>12</v>
      </c>
      <c r="C5" s="36">
        <v>70</v>
      </c>
      <c r="D5" t="s">
        <v>96</v>
      </c>
    </row>
    <row r="6" spans="1:5" x14ac:dyDescent="0.3">
      <c r="A6" t="s">
        <v>14</v>
      </c>
      <c r="C6" s="35">
        <v>90</v>
      </c>
      <c r="D6" t="s">
        <v>97</v>
      </c>
    </row>
    <row r="7" spans="1:5" x14ac:dyDescent="0.3">
      <c r="A7" t="s">
        <v>16</v>
      </c>
      <c r="C7" s="37">
        <f>VLOOKUP(Тип_ПТ,Параметры_ПТ[],3,FALSE)</f>
        <v>28</v>
      </c>
      <c r="D7" t="s">
        <v>17</v>
      </c>
    </row>
    <row r="9" spans="1:5" x14ac:dyDescent="0.3">
      <c r="A9" t="s">
        <v>18</v>
      </c>
    </row>
    <row r="10" spans="1:5" x14ac:dyDescent="0.3">
      <c r="A10" s="12" t="s">
        <v>20</v>
      </c>
      <c r="B10" s="12" t="s">
        <v>21</v>
      </c>
      <c r="C10" s="37">
        <f>(VLOOKUP(Тип_ПТ,Параметры_ПТ[],10,FALSE)*0.8-C5)/VLOOKUP(Тип_ПТ,Параметры_ПТ[],9,FALSE)</f>
        <v>34.482758620689658</v>
      </c>
      <c r="D10" s="12" t="s">
        <v>22</v>
      </c>
      <c r="E10" s="18"/>
    </row>
    <row r="11" spans="1:5" x14ac:dyDescent="0.3">
      <c r="A11" s="12" t="s">
        <v>24</v>
      </c>
      <c r="B11" s="12" t="s">
        <v>101</v>
      </c>
      <c r="C11" s="38">
        <v>28</v>
      </c>
      <c r="D11" s="12" t="s">
        <v>17</v>
      </c>
      <c r="E11" s="18"/>
    </row>
    <row r="12" spans="1:5" x14ac:dyDescent="0.3">
      <c r="A12" s="12" t="s">
        <v>27</v>
      </c>
      <c r="B12" s="12" t="s">
        <v>28</v>
      </c>
      <c r="C12" s="37">
        <f>VLOOKUP(Тип_ПТ,Параметры_ПТ[],5,FALSE)</f>
        <v>2.2222222222222223</v>
      </c>
      <c r="D12" s="12" t="s">
        <v>29</v>
      </c>
      <c r="E12" s="18"/>
    </row>
    <row r="13" spans="1:5" x14ac:dyDescent="0.3">
      <c r="A13" s="12"/>
      <c r="B13" s="12"/>
      <c r="C13" s="37"/>
      <c r="D13" s="12"/>
      <c r="E13" s="18"/>
    </row>
    <row r="14" spans="1:5" x14ac:dyDescent="0.3">
      <c r="A14" s="12" t="s">
        <v>31</v>
      </c>
      <c r="B14" s="12" t="s">
        <v>32</v>
      </c>
      <c r="C14" s="37">
        <f>0.137*C12*C11*(SQRT(1+214*C10/(C12*C11*C11))-1)</f>
        <v>10.980657153226403</v>
      </c>
      <c r="D14" s="12" t="s">
        <v>33</v>
      </c>
      <c r="E14" s="18"/>
    </row>
    <row r="15" spans="1:5" x14ac:dyDescent="0.3">
      <c r="A15" s="12" t="s">
        <v>34</v>
      </c>
      <c r="B15" s="12" t="s">
        <v>35</v>
      </c>
      <c r="C15" s="37">
        <f>C14/3.1415</f>
        <v>3.4953548156060488</v>
      </c>
      <c r="D15" s="12" t="s">
        <v>33</v>
      </c>
      <c r="E15" s="18"/>
    </row>
    <row r="16" spans="1:5" x14ac:dyDescent="0.3">
      <c r="A16" s="12" t="s">
        <v>36</v>
      </c>
      <c r="B16" s="12" t="s">
        <v>37</v>
      </c>
      <c r="C16" s="37">
        <f>C14*0.5</f>
        <v>5.4903285766132015</v>
      </c>
      <c r="D16" s="12" t="s">
        <v>33</v>
      </c>
      <c r="E16" s="18"/>
    </row>
    <row r="17" spans="1:5" x14ac:dyDescent="0.3">
      <c r="A17" s="12" t="s">
        <v>38</v>
      </c>
      <c r="B17" s="12" t="s">
        <v>39</v>
      </c>
      <c r="C17" s="37">
        <f>C14/C12</f>
        <v>4.9412957189518814</v>
      </c>
      <c r="D17" s="12" t="s">
        <v>17</v>
      </c>
      <c r="E17" s="18"/>
    </row>
    <row r="18" spans="1:5" x14ac:dyDescent="0.3">
      <c r="A18" s="12" t="s">
        <v>40</v>
      </c>
      <c r="B18" s="12" t="s">
        <v>102</v>
      </c>
      <c r="C18" s="37">
        <f>C11-C17</f>
        <v>23.058704281048119</v>
      </c>
      <c r="D18" s="12" t="s">
        <v>17</v>
      </c>
      <c r="E18" s="18"/>
    </row>
    <row r="19" spans="1:5" x14ac:dyDescent="0.3">
      <c r="A19" s="12" t="s">
        <v>42</v>
      </c>
      <c r="B19" s="12" t="s">
        <v>103</v>
      </c>
      <c r="C19" s="37">
        <f>C18/C16</f>
        <v>4.1998769216235603</v>
      </c>
      <c r="D19" s="12" t="s">
        <v>44</v>
      </c>
      <c r="E19" s="18"/>
    </row>
    <row r="20" spans="1:5" x14ac:dyDescent="0.3">
      <c r="A20" s="12"/>
      <c r="B20" s="12"/>
      <c r="C20" s="37"/>
      <c r="D20" s="12"/>
      <c r="E20" s="18"/>
    </row>
    <row r="21" spans="1:5" x14ac:dyDescent="0.3">
      <c r="A21" s="12" t="s">
        <v>46</v>
      </c>
      <c r="B21" s="12" t="s">
        <v>43</v>
      </c>
      <c r="C21" s="38">
        <v>4.7</v>
      </c>
      <c r="D21" s="12" t="s">
        <v>44</v>
      </c>
      <c r="E21" s="18">
        <f>1000000/(2*3.14*C4*VLOOKUP(Тип_ПТ,Параметры_ПТ[],7,FALSE))</f>
        <v>35.385704175513091</v>
      </c>
    </row>
    <row r="22" spans="1:5" x14ac:dyDescent="0.3">
      <c r="A22" s="12" t="s">
        <v>48</v>
      </c>
      <c r="B22" s="12" t="s">
        <v>32</v>
      </c>
      <c r="C22" s="37">
        <f>2*C12*C11/(2+C12*C21)</f>
        <v>10</v>
      </c>
      <c r="D22" s="12" t="s">
        <v>33</v>
      </c>
      <c r="E22" s="18"/>
    </row>
    <row r="23" spans="1:5" x14ac:dyDescent="0.3">
      <c r="A23" s="12" t="s">
        <v>49</v>
      </c>
      <c r="B23" s="12" t="s">
        <v>35</v>
      </c>
      <c r="C23" s="37">
        <f>C22/3.1415</f>
        <v>3.1831927423205473</v>
      </c>
      <c r="D23" s="12" t="s">
        <v>33</v>
      </c>
      <c r="E23" s="18"/>
    </row>
    <row r="24" spans="1:5" x14ac:dyDescent="0.3">
      <c r="A24" s="12" t="s">
        <v>50</v>
      </c>
      <c r="B24" s="12" t="s">
        <v>37</v>
      </c>
      <c r="C24" s="37">
        <f>C22*0.5</f>
        <v>5</v>
      </c>
      <c r="D24" s="12" t="s">
        <v>33</v>
      </c>
      <c r="E24" s="18"/>
    </row>
    <row r="25" spans="1:5" x14ac:dyDescent="0.3">
      <c r="A25" s="12" t="s">
        <v>51</v>
      </c>
      <c r="B25" s="12" t="s">
        <v>39</v>
      </c>
      <c r="C25" s="37">
        <f>C22/C12</f>
        <v>4.5</v>
      </c>
      <c r="D25" s="12" t="s">
        <v>17</v>
      </c>
      <c r="E25" s="18"/>
    </row>
    <row r="26" spans="1:5" x14ac:dyDescent="0.3">
      <c r="A26" s="12" t="s">
        <v>52</v>
      </c>
      <c r="B26" s="12" t="s">
        <v>41</v>
      </c>
      <c r="C26" s="37">
        <f>C11-C25</f>
        <v>23.5</v>
      </c>
      <c r="D26" s="12" t="s">
        <v>17</v>
      </c>
      <c r="E26" s="18"/>
    </row>
    <row r="27" spans="1:5" x14ac:dyDescent="0.3">
      <c r="A27" s="12" t="s">
        <v>53</v>
      </c>
      <c r="B27" s="12" t="s">
        <v>104</v>
      </c>
      <c r="C27" s="37">
        <f>C26+C11</f>
        <v>51.5</v>
      </c>
      <c r="D27" s="12" t="s">
        <v>17</v>
      </c>
      <c r="E27" s="18">
        <f>VLOOKUP(Тип_ПТ,Параметры_ПТ[],2,FALSE)</f>
        <v>65</v>
      </c>
    </row>
    <row r="28" spans="1:5" x14ac:dyDescent="0.3">
      <c r="A28" s="12" t="s">
        <v>56</v>
      </c>
      <c r="B28" s="12" t="s">
        <v>57</v>
      </c>
      <c r="C28" s="37">
        <f>0.5*C26*C24</f>
        <v>58.75</v>
      </c>
      <c r="D28" s="12" t="s">
        <v>22</v>
      </c>
      <c r="E28" s="18"/>
    </row>
    <row r="29" spans="1:5" x14ac:dyDescent="0.3">
      <c r="A29" s="12" t="s">
        <v>58</v>
      </c>
      <c r="B29" s="12" t="s">
        <v>59</v>
      </c>
      <c r="C29" s="37">
        <f>C23*C11</f>
        <v>89.129396784975327</v>
      </c>
      <c r="D29" s="12" t="s">
        <v>22</v>
      </c>
      <c r="E29" s="18"/>
    </row>
    <row r="30" spans="1:5" x14ac:dyDescent="0.3">
      <c r="A30" s="12" t="s">
        <v>60</v>
      </c>
      <c r="B30" s="12" t="s">
        <v>21</v>
      </c>
      <c r="C30" s="37">
        <f>C29-C28</f>
        <v>30.379396784975327</v>
      </c>
      <c r="D30" s="12" t="s">
        <v>22</v>
      </c>
      <c r="E30" s="18">
        <f>C10</f>
        <v>34.482758620689658</v>
      </c>
    </row>
    <row r="31" spans="1:5" x14ac:dyDescent="0.3">
      <c r="A31" s="12" t="s">
        <v>61</v>
      </c>
      <c r="B31" s="12" t="s">
        <v>62</v>
      </c>
      <c r="C31" s="37">
        <f>C28/C29*100</f>
        <v>65.915401785714295</v>
      </c>
      <c r="D31" s="12" t="s">
        <v>63</v>
      </c>
      <c r="E31" s="18">
        <v>60</v>
      </c>
    </row>
    <row r="33" spans="1:6" x14ac:dyDescent="0.3">
      <c r="A33" t="s">
        <v>67</v>
      </c>
    </row>
    <row r="34" spans="1:6" x14ac:dyDescent="0.3">
      <c r="B34" t="s">
        <v>105</v>
      </c>
      <c r="C34" s="36">
        <v>3.3</v>
      </c>
      <c r="D34" t="s">
        <v>65</v>
      </c>
    </row>
    <row r="35" spans="1:6" x14ac:dyDescent="0.3">
      <c r="A35" s="12" t="s">
        <v>68</v>
      </c>
      <c r="B35" s="12" t="s">
        <v>69</v>
      </c>
      <c r="C35" s="37">
        <f>VLOOKUP(Тип_ПТ,Параметры_ПТ[],6,FALSE)/(VLOOKUP(Тип_ПТ,Параметры_ПТ[],4,FALSE)*VLOOKUP(Тип_ПТ,Параметры_ПТ[],8,FALSE))</f>
        <v>3.5</v>
      </c>
      <c r="D35" s="12" t="s">
        <v>44</v>
      </c>
      <c r="E35" s="18"/>
    </row>
    <row r="36" spans="1:6" x14ac:dyDescent="0.3">
      <c r="A36" s="12" t="s">
        <v>70</v>
      </c>
      <c r="B36" s="12" t="s">
        <v>71</v>
      </c>
      <c r="C36" s="37">
        <f>2*C35</f>
        <v>7</v>
      </c>
      <c r="D36" s="12" t="s">
        <v>44</v>
      </c>
      <c r="E36" s="18"/>
    </row>
    <row r="37" spans="1:6" x14ac:dyDescent="0.3">
      <c r="A37" s="12"/>
      <c r="B37" s="12" t="s">
        <v>72</v>
      </c>
      <c r="C37" s="37">
        <f>1/(1+C21/C36)</f>
        <v>0.59829059829059827</v>
      </c>
      <c r="D37" s="12"/>
      <c r="E37" s="18"/>
    </row>
    <row r="38" spans="1:6" x14ac:dyDescent="0.3">
      <c r="A38" s="12"/>
      <c r="B38" s="12" t="s">
        <v>91</v>
      </c>
      <c r="C38" s="37">
        <f>C24/(C37*0.5*VLOOKUP(Тип_ПТ,Параметры_ПТ[],4,FALSE))</f>
        <v>8.3571428571428577</v>
      </c>
      <c r="D38" s="12" t="s">
        <v>17</v>
      </c>
      <c r="E38" s="18"/>
    </row>
    <row r="39" spans="1:6" x14ac:dyDescent="0.3">
      <c r="A39" s="12"/>
      <c r="B39" s="12" t="s">
        <v>106</v>
      </c>
      <c r="C39" s="37">
        <f>C26/C38</f>
        <v>2.8119658119658117</v>
      </c>
      <c r="D39" s="12"/>
      <c r="E39" s="18"/>
    </row>
    <row r="40" spans="1:6" x14ac:dyDescent="0.3">
      <c r="A40" s="12"/>
      <c r="B40" s="12" t="s">
        <v>76</v>
      </c>
      <c r="C40" s="37">
        <f>1000*C37*VLOOKUP(Тип_ПТ,Параметры_ПТ[],4,FALSE)*C34/VLOOKUP(Тип_ПТ,Параметры_ПТ[],6,FALSE)</f>
        <v>37.606837606837601</v>
      </c>
      <c r="D40" s="12" t="s">
        <v>44</v>
      </c>
      <c r="E40" s="18"/>
    </row>
    <row r="41" spans="1:6" x14ac:dyDescent="0.3">
      <c r="A41" s="12"/>
      <c r="B41" s="12" t="s">
        <v>83</v>
      </c>
      <c r="C41" s="37">
        <f>VLOOKUP(Тип_ПТ,Параметры_ПТ[],6,FALSE)+VLOOKUP(Тип_ПТ,Параметры_ПТ[],8,FALSE)*(1+C39)</f>
        <v>162.17948717948718</v>
      </c>
      <c r="D41" s="12" t="s">
        <v>80</v>
      </c>
      <c r="E41" s="18"/>
    </row>
    <row r="42" spans="1:6" x14ac:dyDescent="0.3">
      <c r="A42" s="12"/>
      <c r="B42" s="12" t="s">
        <v>107</v>
      </c>
      <c r="C42" s="38">
        <v>162</v>
      </c>
      <c r="D42" s="12" t="s">
        <v>80</v>
      </c>
      <c r="E42" s="18"/>
    </row>
    <row r="43" spans="1:6" x14ac:dyDescent="0.3">
      <c r="A43" s="12"/>
      <c r="B43" s="12" t="s">
        <v>108</v>
      </c>
      <c r="C43" s="37">
        <f>1000000/(C42*C40)</f>
        <v>164.14141414141417</v>
      </c>
      <c r="D43" s="12" t="s">
        <v>109</v>
      </c>
      <c r="E43" s="18"/>
    </row>
    <row r="44" spans="1:6" x14ac:dyDescent="0.3">
      <c r="A44" s="12"/>
      <c r="B44" s="12" t="s">
        <v>110</v>
      </c>
      <c r="C44" s="37">
        <f>6.28*C4</f>
        <v>314</v>
      </c>
      <c r="D44" s="12" t="s">
        <v>109</v>
      </c>
      <c r="E44" s="18"/>
      <c r="F44" s="5"/>
    </row>
    <row r="45" spans="1:6" x14ac:dyDescent="0.3">
      <c r="A45" s="12"/>
      <c r="B45" s="12" t="s">
        <v>111</v>
      </c>
      <c r="C45" s="37">
        <f>VLOOKUP(Тип_ПТ,Параметры_ПТ[],7,FALSE)+VLOOKUP(Тип_ПТ,Параметры_ПТ[],8,FALSE)</f>
        <v>105</v>
      </c>
      <c r="D45" s="12" t="s">
        <v>80</v>
      </c>
      <c r="E45" s="18"/>
      <c r="F45" s="5"/>
    </row>
    <row r="46" spans="1:6" x14ac:dyDescent="0.3">
      <c r="F46" s="5"/>
    </row>
    <row r="47" spans="1:6" x14ac:dyDescent="0.3">
      <c r="A47" s="1" t="s">
        <v>112</v>
      </c>
      <c r="B47" s="2"/>
      <c r="C47" s="39" t="s">
        <v>113</v>
      </c>
      <c r="D47" s="2"/>
      <c r="E47" s="40"/>
      <c r="F47" s="41"/>
    </row>
    <row r="48" spans="1:6" x14ac:dyDescent="0.3">
      <c r="A48" s="4"/>
      <c r="B48" s="5" t="s">
        <v>114</v>
      </c>
      <c r="C48" s="35">
        <v>0.41599999999999998</v>
      </c>
      <c r="D48" s="5"/>
      <c r="E48" s="42"/>
      <c r="F48" s="43"/>
    </row>
    <row r="49" spans="1:6" x14ac:dyDescent="0.3">
      <c r="A49" s="4"/>
      <c r="B49" s="5" t="s">
        <v>115</v>
      </c>
      <c r="C49" s="35">
        <v>0.71</v>
      </c>
      <c r="D49" s="5"/>
      <c r="E49" s="42"/>
      <c r="F49" s="43"/>
    </row>
    <row r="50" spans="1:6" x14ac:dyDescent="0.3">
      <c r="A50" s="4"/>
      <c r="B50" s="5"/>
      <c r="D50" s="5"/>
      <c r="E50" s="42"/>
      <c r="F50" s="43"/>
    </row>
    <row r="51" spans="1:6" x14ac:dyDescent="0.3">
      <c r="A51" s="4"/>
      <c r="B51" s="5" t="s">
        <v>86</v>
      </c>
      <c r="C51" s="44">
        <f>1000000*2*C49/(C4*C42)</f>
        <v>175.30864197530863</v>
      </c>
      <c r="D51" s="5" t="s">
        <v>44</v>
      </c>
      <c r="E51" s="42"/>
      <c r="F51" s="43"/>
    </row>
    <row r="52" spans="1:6" x14ac:dyDescent="0.3">
      <c r="A52" s="4" t="s">
        <v>116</v>
      </c>
      <c r="B52" s="5"/>
      <c r="C52" s="44"/>
      <c r="D52" s="5"/>
      <c r="E52" s="42"/>
      <c r="F52" s="43"/>
    </row>
    <row r="53" spans="1:6" x14ac:dyDescent="0.3">
      <c r="A53" s="4"/>
      <c r="B53" s="5" t="s">
        <v>86</v>
      </c>
      <c r="C53" s="45">
        <v>75</v>
      </c>
      <c r="D53" s="5" t="s">
        <v>44</v>
      </c>
      <c r="E53" s="42"/>
      <c r="F53" s="43"/>
    </row>
    <row r="54" spans="1:6" x14ac:dyDescent="0.3">
      <c r="A54" s="4"/>
      <c r="B54" s="5" t="s">
        <v>110</v>
      </c>
      <c r="C54" s="44">
        <f>1000000*2*C49/(C53*C42)</f>
        <v>116.8724279835391</v>
      </c>
      <c r="D54" s="5" t="s">
        <v>109</v>
      </c>
      <c r="E54" s="42"/>
      <c r="F54" s="43"/>
    </row>
    <row r="55" spans="1:6" x14ac:dyDescent="0.3">
      <c r="A55" s="4"/>
      <c r="B55" s="5" t="s">
        <v>117</v>
      </c>
      <c r="C55" s="35">
        <f>C42*C48/(4*C49)</f>
        <v>23.729577464788733</v>
      </c>
      <c r="D55" s="5" t="s">
        <v>80</v>
      </c>
      <c r="E55" s="42"/>
      <c r="F55" s="43"/>
    </row>
    <row r="56" spans="1:6" x14ac:dyDescent="0.3">
      <c r="A56" s="4"/>
      <c r="B56" s="5" t="s">
        <v>118</v>
      </c>
      <c r="C56" s="35">
        <f>1000000000*2*C49*C49/(C54*C54*C42)</f>
        <v>455.625</v>
      </c>
      <c r="D56" s="5" t="s">
        <v>65</v>
      </c>
      <c r="E56" s="42"/>
      <c r="F56" s="43"/>
    </row>
    <row r="57" spans="1:6" x14ac:dyDescent="0.3">
      <c r="A57" s="4"/>
      <c r="B57" s="5" t="s">
        <v>119</v>
      </c>
      <c r="C57" s="35">
        <f>C56*(1-C48/C49)/2+C34</f>
        <v>97.633626760563374</v>
      </c>
      <c r="D57" s="5" t="s">
        <v>65</v>
      </c>
      <c r="E57" s="42"/>
      <c r="F57" s="43"/>
    </row>
    <row r="58" spans="1:6" x14ac:dyDescent="0.3">
      <c r="A58" s="4"/>
      <c r="B58" s="5" t="s">
        <v>92</v>
      </c>
      <c r="C58" s="35">
        <f>C38*C38/(2*C53)</f>
        <v>0.46561224489795922</v>
      </c>
      <c r="D58" s="5" t="s">
        <v>22</v>
      </c>
      <c r="E58" s="42"/>
      <c r="F58" s="43"/>
    </row>
    <row r="59" spans="1:6" x14ac:dyDescent="0.3">
      <c r="A59" s="7"/>
      <c r="B59" s="8" t="s">
        <v>93</v>
      </c>
      <c r="C59" s="46">
        <f>C28/C58</f>
        <v>126.17795310103001</v>
      </c>
      <c r="D59" s="8"/>
      <c r="E59" s="47">
        <v>30</v>
      </c>
      <c r="F59" s="48"/>
    </row>
    <row r="61" spans="1:6" x14ac:dyDescent="0.3">
      <c r="A61" s="1" t="s">
        <v>120</v>
      </c>
      <c r="B61" s="2"/>
      <c r="C61" s="39" t="s">
        <v>121</v>
      </c>
      <c r="D61" s="2"/>
      <c r="E61" s="40"/>
      <c r="F61" s="49"/>
    </row>
    <row r="62" spans="1:6" x14ac:dyDescent="0.3">
      <c r="A62" s="4" t="s">
        <v>64</v>
      </c>
      <c r="B62" s="5"/>
      <c r="C62" s="15">
        <v>100</v>
      </c>
      <c r="D62" s="5" t="s">
        <v>65</v>
      </c>
      <c r="E62" s="42"/>
      <c r="F62" s="50"/>
    </row>
    <row r="63" spans="1:6" x14ac:dyDescent="0.3">
      <c r="A63" s="4"/>
      <c r="B63" s="5"/>
      <c r="C63" s="10"/>
      <c r="D63" s="5"/>
      <c r="E63" s="42"/>
      <c r="F63" s="50"/>
    </row>
    <row r="64" spans="1:6" x14ac:dyDescent="0.3">
      <c r="A64" s="4" t="s">
        <v>67</v>
      </c>
      <c r="B64" s="5"/>
      <c r="C64" s="10"/>
      <c r="D64" s="5"/>
      <c r="E64" s="42"/>
      <c r="F64" s="50"/>
    </row>
    <row r="65" spans="1:6" x14ac:dyDescent="0.3">
      <c r="A65" s="4"/>
      <c r="B65" s="5" t="s">
        <v>73</v>
      </c>
      <c r="C65" s="10">
        <f>15+C62</f>
        <v>115</v>
      </c>
      <c r="D65" s="5" t="s">
        <v>65</v>
      </c>
      <c r="E65" s="42"/>
      <c r="F65" s="50"/>
    </row>
    <row r="66" spans="1:6" x14ac:dyDescent="0.3">
      <c r="A66" s="4"/>
      <c r="B66" s="5" t="s">
        <v>77</v>
      </c>
      <c r="C66" s="51">
        <f>6.28*C4*C65/C40/1000</f>
        <v>0.96019772727272745</v>
      </c>
      <c r="D66" s="5"/>
      <c r="E66" s="52">
        <v>1</v>
      </c>
      <c r="F66" s="50"/>
    </row>
    <row r="67" spans="1:6" x14ac:dyDescent="0.3">
      <c r="A67" s="4"/>
      <c r="B67" s="5" t="s">
        <v>83</v>
      </c>
      <c r="C67" s="10">
        <f>1000000000/(6.28*C4*6.28*C4*C65)</f>
        <v>88.194776399783393</v>
      </c>
      <c r="D67" s="5"/>
      <c r="E67" s="42"/>
      <c r="F67" s="50"/>
    </row>
    <row r="68" spans="1:6" x14ac:dyDescent="0.3">
      <c r="A68" s="4"/>
      <c r="B68" s="5" t="s">
        <v>84</v>
      </c>
      <c r="C68" s="10">
        <f>C42*C67/(C42-C67)</f>
        <v>193.58458764594783</v>
      </c>
      <c r="D68" s="5" t="s">
        <v>80</v>
      </c>
      <c r="E68" s="42"/>
      <c r="F68" s="50"/>
    </row>
    <row r="69" spans="1:6" x14ac:dyDescent="0.3">
      <c r="A69" s="4"/>
      <c r="B69" s="5" t="s">
        <v>85</v>
      </c>
      <c r="C69" s="10">
        <f>1000000/(C37*C43*C68)</f>
        <v>52.601590171428562</v>
      </c>
      <c r="D69" s="5" t="s">
        <v>44</v>
      </c>
      <c r="E69" s="42"/>
      <c r="F69" s="50"/>
    </row>
    <row r="70" spans="1:6" x14ac:dyDescent="0.3">
      <c r="A70" s="4"/>
      <c r="B70" s="5" t="s">
        <v>86</v>
      </c>
      <c r="C70" s="51">
        <f>2*C40</f>
        <v>75.213675213675202</v>
      </c>
      <c r="D70" s="5" t="s">
        <v>44</v>
      </c>
      <c r="E70" s="52" t="s">
        <v>87</v>
      </c>
      <c r="F70" s="50"/>
    </row>
    <row r="71" spans="1:6" x14ac:dyDescent="0.3">
      <c r="A71" s="4"/>
      <c r="B71" s="5" t="s">
        <v>88</v>
      </c>
      <c r="C71" s="10">
        <f>C70/(6.28*C4)</f>
        <v>0.23953399749578089</v>
      </c>
      <c r="D71" s="5" t="s">
        <v>89</v>
      </c>
      <c r="E71" s="42"/>
      <c r="F71" s="50"/>
    </row>
    <row r="72" spans="1:6" x14ac:dyDescent="0.3">
      <c r="A72" s="4"/>
      <c r="B72" s="5" t="s">
        <v>90</v>
      </c>
      <c r="C72" s="10">
        <f>1000000/(6.28*C4*C70)</f>
        <v>42.342211928199198</v>
      </c>
      <c r="D72" s="5" t="s">
        <v>80</v>
      </c>
      <c r="E72" s="42"/>
      <c r="F72" s="50"/>
    </row>
    <row r="73" spans="1:6" x14ac:dyDescent="0.3">
      <c r="A73" s="4"/>
      <c r="B73" s="5" t="s">
        <v>91</v>
      </c>
      <c r="C73" s="10">
        <f>C38*C42/C67</f>
        <v>15.350763368571428</v>
      </c>
      <c r="D73" s="5" t="s">
        <v>17</v>
      </c>
      <c r="E73" s="42"/>
      <c r="F73" s="50"/>
    </row>
    <row r="74" spans="1:6" x14ac:dyDescent="0.3">
      <c r="A74" s="4"/>
      <c r="B74" s="5" t="s">
        <v>92</v>
      </c>
      <c r="C74" s="10">
        <f>C73*C73/(2*C70)</f>
        <v>1.5665099154404154</v>
      </c>
      <c r="D74" s="5" t="s">
        <v>22</v>
      </c>
      <c r="E74" s="42"/>
      <c r="F74" s="50"/>
    </row>
    <row r="75" spans="1:6" x14ac:dyDescent="0.3">
      <c r="A75" s="7"/>
      <c r="B75" s="8" t="s">
        <v>93</v>
      </c>
      <c r="C75" s="53">
        <f>C28/C74</f>
        <v>37.50375239947509</v>
      </c>
      <c r="D75" s="8"/>
      <c r="E75" s="47">
        <v>30</v>
      </c>
      <c r="F75" s="54"/>
    </row>
  </sheetData>
  <mergeCells count="1">
    <mergeCell ref="B1:C1"/>
  </mergeCells>
  <conditionalFormatting sqref="C27">
    <cfRule type="cellIs" dxfId="22" priority="11" operator="greaterThan">
      <formula>$E$27</formula>
    </cfRule>
  </conditionalFormatting>
  <conditionalFormatting sqref="C30">
    <cfRule type="cellIs" dxfId="21" priority="10" operator="greaterThan">
      <formula>$E$30</formula>
    </cfRule>
  </conditionalFormatting>
  <conditionalFormatting sqref="C31">
    <cfRule type="cellIs" dxfId="20" priority="9" operator="lessThan">
      <formula>$E$31</formula>
    </cfRule>
  </conditionalFormatting>
  <conditionalFormatting sqref="C21">
    <cfRule type="cellIs" dxfId="19" priority="8" operator="greaterThan">
      <formula>$E$21</formula>
    </cfRule>
  </conditionalFormatting>
  <conditionalFormatting sqref="C44">
    <cfRule type="cellIs" dxfId="18" priority="7" operator="greaterThan">
      <formula>$C$43</formula>
    </cfRule>
  </conditionalFormatting>
  <conditionalFormatting sqref="C59">
    <cfRule type="cellIs" dxfId="17" priority="6" operator="lessThan">
      <formula>$E$59</formula>
    </cfRule>
  </conditionalFormatting>
  <conditionalFormatting sqref="C75">
    <cfRule type="cellIs" dxfId="16" priority="4" operator="lessThan">
      <formula>1.3</formula>
    </cfRule>
  </conditionalFormatting>
  <conditionalFormatting sqref="C75">
    <cfRule type="cellIs" dxfId="15" priority="3" operator="greaterThan">
      <formula>1.31</formula>
    </cfRule>
  </conditionalFormatting>
  <conditionalFormatting sqref="C75">
    <cfRule type="cellIs" dxfId="14" priority="2" operator="lessThan">
      <formula>$E$60</formula>
    </cfRule>
  </conditionalFormatting>
  <conditionalFormatting sqref="C75">
    <cfRule type="cellIs" dxfId="13" priority="1" operator="lessThan">
      <formula>$E$75</formula>
    </cfRule>
  </conditionalFormatting>
  <pageMargins left="0.7" right="0.7" top="0.75" bottom="0.75" header="0.3" footer="0.3"/>
  <pageSetup paperSize="9" firstPageNumber="4294967295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workbookViewId="0">
      <selection activeCell="H77" sqref="H77"/>
    </sheetView>
  </sheetViews>
  <sheetFormatPr defaultRowHeight="14.4" x14ac:dyDescent="0.3"/>
  <cols>
    <col min="1" max="1" width="4.88671875" customWidth="1"/>
    <col min="2" max="2" width="28.109375" customWidth="1"/>
    <col min="3" max="3" width="9" style="35" customWidth="1"/>
    <col min="5" max="5" width="12" style="11" customWidth="1"/>
    <col min="7" max="7" width="5.33203125" customWidth="1"/>
    <col min="8" max="8" width="29.44140625" customWidth="1"/>
    <col min="9" max="9" width="9.44140625" customWidth="1"/>
  </cols>
  <sheetData>
    <row r="1" spans="1:5" ht="28.8" x14ac:dyDescent="0.3">
      <c r="A1" s="12" t="s">
        <v>4</v>
      </c>
      <c r="B1" s="59" t="s">
        <v>5</v>
      </c>
      <c r="C1" s="59"/>
      <c r="D1" s="13" t="s">
        <v>6</v>
      </c>
      <c r="E1" s="14" t="s">
        <v>7</v>
      </c>
    </row>
    <row r="3" spans="1:5" x14ac:dyDescent="0.3">
      <c r="A3" t="s">
        <v>8</v>
      </c>
      <c r="C3" s="36" t="s">
        <v>100</v>
      </c>
    </row>
    <row r="4" spans="1:5" x14ac:dyDescent="0.3">
      <c r="A4" t="s">
        <v>95</v>
      </c>
      <c r="C4" s="36">
        <v>444</v>
      </c>
      <c r="D4" t="s">
        <v>22</v>
      </c>
      <c r="E4" s="23">
        <f>C4*1.3</f>
        <v>577.20000000000005</v>
      </c>
    </row>
    <row r="5" spans="1:5" x14ac:dyDescent="0.3">
      <c r="A5" t="s">
        <v>10</v>
      </c>
      <c r="C5" s="36">
        <v>50</v>
      </c>
      <c r="D5" t="s">
        <v>11</v>
      </c>
    </row>
    <row r="6" spans="1:5" x14ac:dyDescent="0.3">
      <c r="A6" t="s">
        <v>12</v>
      </c>
      <c r="C6" s="36">
        <v>50</v>
      </c>
      <c r="D6" t="s">
        <v>96</v>
      </c>
    </row>
    <row r="7" spans="1:5" x14ac:dyDescent="0.3">
      <c r="A7" t="s">
        <v>14</v>
      </c>
      <c r="C7" s="35">
        <v>90</v>
      </c>
      <c r="D7" t="s">
        <v>97</v>
      </c>
    </row>
    <row r="8" spans="1:5" x14ac:dyDescent="0.3">
      <c r="A8" t="s">
        <v>16</v>
      </c>
      <c r="C8" s="37">
        <f>VLOOKUP(Тип_ПТ2,Параметры_ПТ[],3,FALSE)</f>
        <v>28</v>
      </c>
      <c r="D8" t="s">
        <v>17</v>
      </c>
    </row>
    <row r="9" spans="1:5" x14ac:dyDescent="0.3">
      <c r="A9" t="s">
        <v>98</v>
      </c>
      <c r="C9" s="28">
        <v>4</v>
      </c>
    </row>
    <row r="11" spans="1:5" x14ac:dyDescent="0.3">
      <c r="A11" t="s">
        <v>18</v>
      </c>
    </row>
    <row r="12" spans="1:5" x14ac:dyDescent="0.3">
      <c r="A12" s="12" t="s">
        <v>20</v>
      </c>
      <c r="B12" s="12" t="s">
        <v>57</v>
      </c>
      <c r="C12" s="30">
        <f>C4/2/C9*1.1</f>
        <v>61.050000000000004</v>
      </c>
      <c r="D12" s="12" t="s">
        <v>22</v>
      </c>
      <c r="E12" s="18"/>
    </row>
    <row r="13" spans="1:5" x14ac:dyDescent="0.3">
      <c r="A13" s="12" t="s">
        <v>24</v>
      </c>
      <c r="B13" s="12" t="s">
        <v>101</v>
      </c>
      <c r="C13" s="38">
        <v>27</v>
      </c>
      <c r="D13" s="12" t="s">
        <v>17</v>
      </c>
      <c r="E13" s="18"/>
    </row>
    <row r="14" spans="1:5" x14ac:dyDescent="0.3">
      <c r="A14" s="12" t="s">
        <v>27</v>
      </c>
      <c r="B14" s="12" t="s">
        <v>28</v>
      </c>
      <c r="C14" s="37">
        <f>VLOOKUP(Тип_ПТ2,Параметры_ПТ[],5,FALSE)</f>
        <v>2.2222222222222223</v>
      </c>
      <c r="D14" s="12" t="s">
        <v>29</v>
      </c>
      <c r="E14" s="18"/>
    </row>
    <row r="15" spans="1:5" x14ac:dyDescent="0.3">
      <c r="A15" s="12"/>
      <c r="B15" s="12"/>
      <c r="C15" s="37"/>
      <c r="D15" s="12"/>
      <c r="E15" s="18"/>
    </row>
    <row r="16" spans="1:5" x14ac:dyDescent="0.3">
      <c r="A16" s="12" t="s">
        <v>31</v>
      </c>
      <c r="B16" s="12" t="s">
        <v>32</v>
      </c>
      <c r="C16" s="37">
        <f>0.5*C14*C13*(1-SQRT(1-16*C12/(C14*C13*C13)))</f>
        <v>11.096737494989569</v>
      </c>
      <c r="D16" s="12" t="s">
        <v>33</v>
      </c>
      <c r="E16" s="18"/>
    </row>
    <row r="17" spans="1:5" x14ac:dyDescent="0.3">
      <c r="A17" s="12" t="s">
        <v>34</v>
      </c>
      <c r="B17" s="12" t="s">
        <v>35</v>
      </c>
      <c r="C17" s="37">
        <f>C16/3.1415</f>
        <v>3.5323054257487088</v>
      </c>
      <c r="D17" s="12" t="s">
        <v>33</v>
      </c>
      <c r="E17" s="18"/>
    </row>
    <row r="18" spans="1:5" x14ac:dyDescent="0.3">
      <c r="A18" s="12" t="s">
        <v>36</v>
      </c>
      <c r="B18" s="12" t="s">
        <v>37</v>
      </c>
      <c r="C18" s="37">
        <f>C16*0.5</f>
        <v>5.5483687474947843</v>
      </c>
      <c r="D18" s="12" t="s">
        <v>33</v>
      </c>
      <c r="E18" s="18"/>
    </row>
    <row r="19" spans="1:5" x14ac:dyDescent="0.3">
      <c r="A19" s="12" t="s">
        <v>38</v>
      </c>
      <c r="B19" s="12" t="s">
        <v>39</v>
      </c>
      <c r="C19" s="37">
        <f>C16/C14</f>
        <v>4.9935318727453053</v>
      </c>
      <c r="D19" s="12" t="s">
        <v>17</v>
      </c>
      <c r="E19" s="18"/>
    </row>
    <row r="20" spans="1:5" x14ac:dyDescent="0.3">
      <c r="A20" s="12" t="s">
        <v>40</v>
      </c>
      <c r="B20" s="12" t="s">
        <v>102</v>
      </c>
      <c r="C20" s="37">
        <f>C13-C19</f>
        <v>22.006468127254696</v>
      </c>
      <c r="D20" s="12" t="s">
        <v>17</v>
      </c>
      <c r="E20" s="18"/>
    </row>
    <row r="21" spans="1:5" x14ac:dyDescent="0.3">
      <c r="A21" s="12" t="s">
        <v>42</v>
      </c>
      <c r="B21" s="12" t="s">
        <v>103</v>
      </c>
      <c r="C21" s="37">
        <f>C20/C18</f>
        <v>3.9662951632749932</v>
      </c>
      <c r="D21" s="12" t="s">
        <v>44</v>
      </c>
      <c r="E21" s="18"/>
    </row>
    <row r="22" spans="1:5" x14ac:dyDescent="0.3">
      <c r="A22" s="12"/>
      <c r="B22" s="12"/>
      <c r="C22" s="37"/>
      <c r="D22" s="12"/>
      <c r="E22" s="18"/>
    </row>
    <row r="23" spans="1:5" x14ac:dyDescent="0.3">
      <c r="A23" s="12" t="s">
        <v>46</v>
      </c>
      <c r="B23" s="12" t="s">
        <v>43</v>
      </c>
      <c r="C23" s="38">
        <v>3.2</v>
      </c>
      <c r="D23" s="12" t="s">
        <v>44</v>
      </c>
      <c r="E23" s="18">
        <f>1000000/(2*3.14*C5*VLOOKUP(Тип_ПТ,Параметры_ПТ[],7,FALSE))</f>
        <v>35.385704175513091</v>
      </c>
    </row>
    <row r="24" spans="1:5" x14ac:dyDescent="0.3">
      <c r="A24" s="12" t="s">
        <v>48</v>
      </c>
      <c r="B24" s="12" t="s">
        <v>32</v>
      </c>
      <c r="C24" s="37">
        <f>2*C14*C13/(2+C14*C23)</f>
        <v>13.170731707317074</v>
      </c>
      <c r="D24" s="12" t="s">
        <v>33</v>
      </c>
      <c r="E24" s="18"/>
    </row>
    <row r="25" spans="1:5" x14ac:dyDescent="0.3">
      <c r="A25" s="12" t="s">
        <v>49</v>
      </c>
      <c r="B25" s="12" t="s">
        <v>35</v>
      </c>
      <c r="C25" s="37">
        <f>C24/3.1415</f>
        <v>4.1924977581782823</v>
      </c>
      <c r="D25" s="12" t="s">
        <v>33</v>
      </c>
      <c r="E25" s="18"/>
    </row>
    <row r="26" spans="1:5" x14ac:dyDescent="0.3">
      <c r="A26" s="12" t="s">
        <v>50</v>
      </c>
      <c r="B26" s="12" t="s">
        <v>37</v>
      </c>
      <c r="C26" s="37">
        <f>C24*0.5</f>
        <v>6.5853658536585371</v>
      </c>
      <c r="D26" s="12" t="s">
        <v>33</v>
      </c>
      <c r="E26" s="18"/>
    </row>
    <row r="27" spans="1:5" x14ac:dyDescent="0.3">
      <c r="A27" s="12" t="s">
        <v>51</v>
      </c>
      <c r="B27" s="12" t="s">
        <v>39</v>
      </c>
      <c r="C27" s="37">
        <f>C24/C14</f>
        <v>5.9268292682926829</v>
      </c>
      <c r="D27" s="12" t="s">
        <v>17</v>
      </c>
      <c r="E27" s="18"/>
    </row>
    <row r="28" spans="1:5" x14ac:dyDescent="0.3">
      <c r="A28" s="12" t="s">
        <v>52</v>
      </c>
      <c r="B28" s="12" t="s">
        <v>41</v>
      </c>
      <c r="C28" s="37">
        <f>C13-C27</f>
        <v>21.073170731707318</v>
      </c>
      <c r="D28" s="12" t="s">
        <v>17</v>
      </c>
      <c r="E28" s="18"/>
    </row>
    <row r="29" spans="1:5" x14ac:dyDescent="0.3">
      <c r="A29" s="12" t="s">
        <v>53</v>
      </c>
      <c r="B29" s="12" t="s">
        <v>104</v>
      </c>
      <c r="C29" s="37">
        <f>C28+C13</f>
        <v>48.073170731707322</v>
      </c>
      <c r="D29" s="12" t="s">
        <v>17</v>
      </c>
      <c r="E29" s="18">
        <f>VLOOKUP(Тип_ПТ,Параметры_ПТ[],2,FALSE)</f>
        <v>65</v>
      </c>
    </row>
    <row r="30" spans="1:5" x14ac:dyDescent="0.3">
      <c r="A30" s="12" t="s">
        <v>56</v>
      </c>
      <c r="B30" s="12" t="s">
        <v>57</v>
      </c>
      <c r="C30" s="37">
        <f>0.5*C28*C26</f>
        <v>69.387269482450932</v>
      </c>
      <c r="D30" s="12" t="s">
        <v>22</v>
      </c>
      <c r="E30" s="32">
        <f>C12</f>
        <v>61.050000000000004</v>
      </c>
    </row>
    <row r="31" spans="1:5" x14ac:dyDescent="0.3">
      <c r="A31" s="12" t="s">
        <v>58</v>
      </c>
      <c r="B31" s="12" t="s">
        <v>59</v>
      </c>
      <c r="C31" s="37">
        <f>C25*C13</f>
        <v>113.19743947081362</v>
      </c>
      <c r="D31" s="12" t="s">
        <v>22</v>
      </c>
      <c r="E31" s="18"/>
    </row>
    <row r="32" spans="1:5" x14ac:dyDescent="0.3">
      <c r="A32" s="12" t="s">
        <v>60</v>
      </c>
      <c r="B32" s="12" t="s">
        <v>21</v>
      </c>
      <c r="C32" s="37">
        <f>C31-C30</f>
        <v>43.810169988362688</v>
      </c>
      <c r="D32" s="12" t="s">
        <v>22</v>
      </c>
      <c r="E32" s="32">
        <f>(VLOOKUP(Тип_ПТ,Параметры_ПТ[],10,FALSE)*0.8-C6)/VLOOKUP(Тип_ПТ,Параметры_ПТ[],9,FALSE)</f>
        <v>48.275862068965516</v>
      </c>
    </row>
    <row r="33" spans="1:6" x14ac:dyDescent="0.3">
      <c r="A33" s="12" t="s">
        <v>61</v>
      </c>
      <c r="B33" s="12" t="s">
        <v>62</v>
      </c>
      <c r="C33" s="37">
        <f>C30/C31*100</f>
        <v>61.29756097560977</v>
      </c>
      <c r="D33" s="12" t="s">
        <v>63</v>
      </c>
      <c r="E33" s="18">
        <v>60</v>
      </c>
    </row>
    <row r="34" spans="1:6" x14ac:dyDescent="0.3">
      <c r="A34" s="12" t="s">
        <v>68</v>
      </c>
      <c r="B34" s="12" t="s">
        <v>99</v>
      </c>
      <c r="C34" s="30">
        <f>C30*2*C9</f>
        <v>555.09815585960746</v>
      </c>
      <c r="D34" s="12" t="s">
        <v>22</v>
      </c>
      <c r="E34" s="18">
        <f>E4</f>
        <v>577.20000000000005</v>
      </c>
    </row>
    <row r="36" spans="1:6" x14ac:dyDescent="0.3">
      <c r="A36" t="s">
        <v>67</v>
      </c>
    </row>
    <row r="37" spans="1:6" x14ac:dyDescent="0.3">
      <c r="B37" t="s">
        <v>105</v>
      </c>
      <c r="C37" s="36">
        <v>2</v>
      </c>
      <c r="D37" t="s">
        <v>65</v>
      </c>
    </row>
    <row r="38" spans="1:6" x14ac:dyDescent="0.3">
      <c r="A38" s="12" t="s">
        <v>68</v>
      </c>
      <c r="B38" s="12" t="s">
        <v>69</v>
      </c>
      <c r="C38" s="37">
        <f>VLOOKUP(Тип_ПТ2,Параметры_ПТ[],6,FALSE)/(VLOOKUP(Тип_ПТ2,Параметры_ПТ[],4,FALSE)*VLOOKUP(Тип_ПТ2,Параметры_ПТ[],8,FALSE))</f>
        <v>3.5</v>
      </c>
      <c r="D38" s="12" t="s">
        <v>44</v>
      </c>
      <c r="E38" s="18"/>
    </row>
    <row r="39" spans="1:6" x14ac:dyDescent="0.3">
      <c r="A39" s="12" t="s">
        <v>70</v>
      </c>
      <c r="B39" s="12" t="s">
        <v>71</v>
      </c>
      <c r="C39" s="37">
        <f>2*C38</f>
        <v>7</v>
      </c>
      <c r="D39" s="12" t="s">
        <v>44</v>
      </c>
      <c r="E39" s="18"/>
    </row>
    <row r="40" spans="1:6" x14ac:dyDescent="0.3">
      <c r="A40" s="12"/>
      <c r="B40" s="12" t="s">
        <v>72</v>
      </c>
      <c r="C40" s="37">
        <f>1/(1+C23/C39)</f>
        <v>0.68627450980392146</v>
      </c>
      <c r="D40" s="12"/>
      <c r="E40" s="18"/>
    </row>
    <row r="41" spans="1:6" x14ac:dyDescent="0.3">
      <c r="A41" s="12"/>
      <c r="B41" s="12" t="s">
        <v>91</v>
      </c>
      <c r="C41" s="37">
        <f>C26/(C40*0.5*VLOOKUP(Тип_ПТ2,Параметры_ПТ[],4,FALSE))</f>
        <v>9.5958188153310129</v>
      </c>
      <c r="D41" s="12" t="s">
        <v>17</v>
      </c>
      <c r="E41" s="18"/>
    </row>
    <row r="42" spans="1:6" x14ac:dyDescent="0.3">
      <c r="A42" s="12"/>
      <c r="B42" s="12" t="s">
        <v>106</v>
      </c>
      <c r="C42" s="37">
        <f>C28/C41</f>
        <v>2.1960784313725488</v>
      </c>
      <c r="D42" s="12"/>
      <c r="E42" s="18"/>
    </row>
    <row r="43" spans="1:6" x14ac:dyDescent="0.3">
      <c r="A43" s="12"/>
      <c r="B43" s="12" t="s">
        <v>76</v>
      </c>
      <c r="C43" s="37">
        <f>1000*C40*VLOOKUP(Тип_ПТ2,Параметры_ПТ[],4,FALSE)*C37/VLOOKUP(Тип_ПТ2,Параметры_ПТ[],6,FALSE)</f>
        <v>26.143790849673199</v>
      </c>
      <c r="D43" s="12" t="s">
        <v>44</v>
      </c>
      <c r="E43" s="18"/>
    </row>
    <row r="44" spans="1:6" x14ac:dyDescent="0.3">
      <c r="A44" s="12"/>
      <c r="B44" s="12" t="s">
        <v>83</v>
      </c>
      <c r="C44" s="37">
        <f>VLOOKUP(Тип_ПТ2,Параметры_ПТ[],6,FALSE)+VLOOKUP(Тип_ПТ2,Параметры_ПТ[],8,FALSE)*(1+C42)</f>
        <v>152.94117647058823</v>
      </c>
      <c r="D44" s="12" t="s">
        <v>80</v>
      </c>
      <c r="E44" s="18"/>
    </row>
    <row r="45" spans="1:6" x14ac:dyDescent="0.3">
      <c r="A45" s="12"/>
      <c r="B45" s="12" t="s">
        <v>107</v>
      </c>
      <c r="C45" s="38">
        <v>270</v>
      </c>
      <c r="D45" s="12" t="s">
        <v>80</v>
      </c>
      <c r="E45" s="18">
        <f>C70</f>
        <v>253.55998214937725</v>
      </c>
    </row>
    <row r="46" spans="1:6" x14ac:dyDescent="0.3">
      <c r="A46" s="12"/>
      <c r="B46" s="12" t="s">
        <v>108</v>
      </c>
      <c r="C46" s="37">
        <f>1000000/(C45*C43)</f>
        <v>141.66666666666669</v>
      </c>
      <c r="D46" s="12" t="s">
        <v>109</v>
      </c>
      <c r="E46" s="18"/>
    </row>
    <row r="47" spans="1:6" x14ac:dyDescent="0.3">
      <c r="A47" s="12"/>
      <c r="B47" s="12" t="s">
        <v>110</v>
      </c>
      <c r="C47" s="37">
        <f>6.28*C5</f>
        <v>314</v>
      </c>
      <c r="D47" s="12" t="s">
        <v>109</v>
      </c>
      <c r="E47" s="18"/>
      <c r="F47" s="5"/>
    </row>
    <row r="48" spans="1:6" x14ac:dyDescent="0.3">
      <c r="A48" s="12"/>
      <c r="B48" s="12" t="s">
        <v>111</v>
      </c>
      <c r="C48" s="37">
        <f>VLOOKUP(Тип_ПТ2,Параметры_ПТ[],7,FALSE)+VLOOKUP(Тип_ПТ2,Параметры_ПТ[],8,FALSE)</f>
        <v>105</v>
      </c>
      <c r="D48" s="12" t="s">
        <v>80</v>
      </c>
      <c r="E48" s="18"/>
      <c r="F48" s="5"/>
    </row>
    <row r="49" spans="1:6" x14ac:dyDescent="0.3">
      <c r="F49" s="5"/>
    </row>
    <row r="50" spans="1:6" x14ac:dyDescent="0.3">
      <c r="A50" s="1" t="s">
        <v>112</v>
      </c>
      <c r="B50" s="2"/>
      <c r="C50" s="39" t="s">
        <v>113</v>
      </c>
      <c r="D50" s="2"/>
      <c r="E50" s="40"/>
      <c r="F50" s="41"/>
    </row>
    <row r="51" spans="1:6" x14ac:dyDescent="0.3">
      <c r="A51" s="4"/>
      <c r="B51" s="5" t="s">
        <v>114</v>
      </c>
      <c r="C51" s="35">
        <v>0.41599999999999998</v>
      </c>
      <c r="D51" s="5"/>
      <c r="E51" s="42"/>
      <c r="F51" s="43"/>
    </row>
    <row r="52" spans="1:6" x14ac:dyDescent="0.3">
      <c r="A52" s="4"/>
      <c r="B52" s="5" t="s">
        <v>115</v>
      </c>
      <c r="C52" s="35">
        <v>0.71</v>
      </c>
      <c r="D52" s="5"/>
      <c r="E52" s="42"/>
      <c r="F52" s="43"/>
    </row>
    <row r="53" spans="1:6" x14ac:dyDescent="0.3">
      <c r="A53" s="4"/>
      <c r="B53" s="5"/>
      <c r="D53" s="5"/>
      <c r="E53" s="42"/>
      <c r="F53" s="43"/>
    </row>
    <row r="54" spans="1:6" x14ac:dyDescent="0.3">
      <c r="A54" s="4"/>
      <c r="B54" s="5" t="s">
        <v>86</v>
      </c>
      <c r="C54" s="44">
        <f>1000000*2*C52/(C5*C45)</f>
        <v>105.18518518518519</v>
      </c>
      <c r="D54" s="5" t="s">
        <v>44</v>
      </c>
      <c r="E54" s="42"/>
      <c r="F54" s="43"/>
    </row>
    <row r="55" spans="1:6" x14ac:dyDescent="0.3">
      <c r="A55" s="4" t="s">
        <v>116</v>
      </c>
      <c r="B55" s="5"/>
      <c r="C55" s="44"/>
      <c r="D55" s="5"/>
      <c r="E55" s="42"/>
      <c r="F55" s="43"/>
    </row>
    <row r="56" spans="1:6" x14ac:dyDescent="0.3">
      <c r="A56" s="4"/>
      <c r="B56" s="5" t="s">
        <v>86</v>
      </c>
      <c r="C56" s="45">
        <v>50</v>
      </c>
      <c r="D56" s="5" t="s">
        <v>44</v>
      </c>
      <c r="E56" s="42"/>
      <c r="F56" s="43"/>
    </row>
    <row r="57" spans="1:6" x14ac:dyDescent="0.3">
      <c r="A57" s="4"/>
      <c r="B57" s="5" t="s">
        <v>110</v>
      </c>
      <c r="C57" s="44">
        <f>1000000*2*C52/(C56*C45)</f>
        <v>105.18518518518519</v>
      </c>
      <c r="D57" s="5" t="s">
        <v>109</v>
      </c>
      <c r="E57" s="42"/>
      <c r="F57" s="43"/>
    </row>
    <row r="58" spans="1:6" x14ac:dyDescent="0.3">
      <c r="A58" s="4"/>
      <c r="B58" s="5" t="s">
        <v>117</v>
      </c>
      <c r="C58" s="35">
        <f>C45*C51/(4*C52)</f>
        <v>39.549295774647888</v>
      </c>
      <c r="D58" s="5" t="s">
        <v>80</v>
      </c>
      <c r="E58" s="42"/>
      <c r="F58" s="43"/>
    </row>
    <row r="59" spans="1:6" x14ac:dyDescent="0.3">
      <c r="A59" s="4"/>
      <c r="B59" s="5" t="s">
        <v>118</v>
      </c>
      <c r="C59" s="35">
        <f>1000000000*2*C52*C52/(C57*C57*C45)</f>
        <v>337.5</v>
      </c>
      <c r="D59" s="5" t="s">
        <v>65</v>
      </c>
      <c r="E59" s="42"/>
      <c r="F59" s="43"/>
    </row>
    <row r="60" spans="1:6" x14ac:dyDescent="0.3">
      <c r="A60" s="4"/>
      <c r="B60" s="5" t="s">
        <v>119</v>
      </c>
      <c r="C60" s="35">
        <f>C59*(1-C51/C52)/2+C37</f>
        <v>71.876760563380287</v>
      </c>
      <c r="D60" s="5" t="s">
        <v>65</v>
      </c>
      <c r="E60" s="42"/>
      <c r="F60" s="43"/>
    </row>
    <row r="61" spans="1:6" x14ac:dyDescent="0.3">
      <c r="A61" s="4"/>
      <c r="B61" s="5" t="s">
        <v>92</v>
      </c>
      <c r="C61" s="35">
        <f>C41*C41/(2*C56)</f>
        <v>0.92079738736660688</v>
      </c>
      <c r="D61" s="5" t="s">
        <v>22</v>
      </c>
      <c r="E61" s="42"/>
      <c r="F61" s="43"/>
    </row>
    <row r="62" spans="1:6" x14ac:dyDescent="0.3">
      <c r="A62" s="7"/>
      <c r="B62" s="8" t="s">
        <v>93</v>
      </c>
      <c r="C62" s="46">
        <f>C30/C61</f>
        <v>75.355632449058021</v>
      </c>
      <c r="D62" s="8"/>
      <c r="E62" s="47">
        <v>30</v>
      </c>
      <c r="F62" s="48"/>
    </row>
    <row r="64" spans="1:6" x14ac:dyDescent="0.3">
      <c r="A64" s="1" t="s">
        <v>120</v>
      </c>
      <c r="B64" s="2"/>
      <c r="C64" s="39" t="s">
        <v>121</v>
      </c>
      <c r="D64" s="2"/>
      <c r="E64" s="40"/>
      <c r="F64" s="49"/>
    </row>
    <row r="65" spans="1:6" x14ac:dyDescent="0.3">
      <c r="A65" s="4" t="s">
        <v>64</v>
      </c>
      <c r="B65" s="5"/>
      <c r="C65" s="15">
        <v>25</v>
      </c>
      <c r="D65" s="5" t="s">
        <v>65</v>
      </c>
      <c r="E65" s="42"/>
      <c r="F65" s="50"/>
    </row>
    <row r="66" spans="1:6" x14ac:dyDescent="0.3">
      <c r="A66" s="4"/>
      <c r="B66" s="5"/>
      <c r="C66" s="10"/>
      <c r="D66" s="5"/>
      <c r="E66" s="42"/>
      <c r="F66" s="50"/>
    </row>
    <row r="67" spans="1:6" x14ac:dyDescent="0.3">
      <c r="A67" s="4" t="s">
        <v>67</v>
      </c>
      <c r="B67" s="5"/>
      <c r="C67" s="10"/>
      <c r="D67" s="5"/>
      <c r="E67" s="42"/>
      <c r="F67" s="50"/>
    </row>
    <row r="68" spans="1:6" x14ac:dyDescent="0.3">
      <c r="A68" s="4"/>
      <c r="B68" s="5" t="s">
        <v>73</v>
      </c>
      <c r="C68" s="10">
        <f>15+C65</f>
        <v>40</v>
      </c>
      <c r="D68" s="5" t="s">
        <v>65</v>
      </c>
      <c r="E68" s="42"/>
      <c r="F68" s="50"/>
    </row>
    <row r="69" spans="1:6" x14ac:dyDescent="0.3">
      <c r="A69" s="4"/>
      <c r="B69" s="5" t="s">
        <v>77</v>
      </c>
      <c r="C69" s="51">
        <f>6.28*C5*C68/C43/1000</f>
        <v>0.48042000000000007</v>
      </c>
      <c r="D69" s="5"/>
      <c r="E69" s="52">
        <v>1</v>
      </c>
      <c r="F69" s="50"/>
    </row>
    <row r="70" spans="1:6" x14ac:dyDescent="0.3">
      <c r="A70" s="4"/>
      <c r="B70" s="5" t="s">
        <v>83</v>
      </c>
      <c r="C70" s="10">
        <f>1000000000/(6.28*C5*6.28*C5*C68)</f>
        <v>253.55998214937725</v>
      </c>
      <c r="D70" s="5"/>
      <c r="E70" s="42"/>
      <c r="F70" s="50"/>
    </row>
    <row r="71" spans="1:6" x14ac:dyDescent="0.3">
      <c r="A71" s="4"/>
      <c r="B71" s="5" t="s">
        <v>84</v>
      </c>
      <c r="C71" s="10">
        <f>C45*C70/(C45-C70)</f>
        <v>4164.3017545591365</v>
      </c>
      <c r="D71" s="5" t="s">
        <v>80</v>
      </c>
      <c r="E71" s="42"/>
      <c r="F71" s="50"/>
    </row>
    <row r="72" spans="1:6" x14ac:dyDescent="0.3">
      <c r="A72" s="4"/>
      <c r="B72" s="5" t="s">
        <v>85</v>
      </c>
      <c r="C72" s="10">
        <f>1000000/(C40*C46*C71)</f>
        <v>2.4699733333333351</v>
      </c>
      <c r="D72" s="5" t="s">
        <v>44</v>
      </c>
      <c r="E72" s="42"/>
      <c r="F72" s="50"/>
    </row>
    <row r="73" spans="1:6" x14ac:dyDescent="0.3">
      <c r="A73" s="4"/>
      <c r="B73" s="5" t="s">
        <v>86</v>
      </c>
      <c r="C73" s="51">
        <f>2*C43</f>
        <v>52.287581699346397</v>
      </c>
      <c r="D73" s="5" t="s">
        <v>44</v>
      </c>
      <c r="E73" s="52" t="s">
        <v>87</v>
      </c>
      <c r="F73" s="50"/>
    </row>
    <row r="74" spans="1:6" x14ac:dyDescent="0.3">
      <c r="A74" s="4"/>
      <c r="B74" s="5" t="s">
        <v>88</v>
      </c>
      <c r="C74" s="10">
        <f>C73/(6.28*C5)</f>
        <v>0.16652096082594395</v>
      </c>
      <c r="D74" s="5" t="s">
        <v>89</v>
      </c>
      <c r="E74" s="42"/>
      <c r="F74" s="50"/>
    </row>
    <row r="75" spans="1:6" x14ac:dyDescent="0.3">
      <c r="A75" s="4"/>
      <c r="B75" s="5" t="s">
        <v>90</v>
      </c>
      <c r="C75" s="10">
        <f>1000000/(6.28*C5*C73)</f>
        <v>60.907643312101925</v>
      </c>
      <c r="D75" s="5" t="s">
        <v>80</v>
      </c>
      <c r="E75" s="42"/>
      <c r="F75" s="50"/>
    </row>
    <row r="76" spans="1:6" x14ac:dyDescent="0.3">
      <c r="A76" s="4"/>
      <c r="B76" s="5" t="s">
        <v>91</v>
      </c>
      <c r="C76" s="10">
        <f>C41*C45/C70</f>
        <v>10.217981000696868</v>
      </c>
      <c r="D76" s="5" t="s">
        <v>17</v>
      </c>
      <c r="E76" s="42"/>
      <c r="F76" s="50"/>
    </row>
    <row r="77" spans="1:6" x14ac:dyDescent="0.3">
      <c r="A77" s="4"/>
      <c r="B77" s="5" t="s">
        <v>92</v>
      </c>
      <c r="C77" s="10">
        <f>C76*C76/(2*C73)</f>
        <v>0.99839323542388347</v>
      </c>
      <c r="D77" s="5" t="s">
        <v>22</v>
      </c>
      <c r="E77" s="42"/>
      <c r="F77" s="50"/>
    </row>
    <row r="78" spans="1:6" x14ac:dyDescent="0.3">
      <c r="A78" s="7"/>
      <c r="B78" s="8" t="s">
        <v>93</v>
      </c>
      <c r="C78" s="53">
        <f>C30/C77</f>
        <v>69.498937913968817</v>
      </c>
      <c r="D78" s="8"/>
      <c r="E78" s="47">
        <v>30</v>
      </c>
      <c r="F78" s="54"/>
    </row>
  </sheetData>
  <mergeCells count="1">
    <mergeCell ref="B1:C1"/>
  </mergeCells>
  <conditionalFormatting sqref="C29">
    <cfRule type="cellIs" dxfId="12" priority="13" operator="greaterThan">
      <formula>$E$29</formula>
    </cfRule>
  </conditionalFormatting>
  <conditionalFormatting sqref="C32">
    <cfRule type="cellIs" dxfId="11" priority="12" operator="greaterThan">
      <formula>$E$32</formula>
    </cfRule>
  </conditionalFormatting>
  <conditionalFormatting sqref="C33">
    <cfRule type="cellIs" dxfId="10" priority="11" operator="lessThan">
      <formula>$E$33</formula>
    </cfRule>
  </conditionalFormatting>
  <conditionalFormatting sqref="C23">
    <cfRule type="cellIs" dxfId="9" priority="10" operator="greaterThan">
      <formula>$E$23</formula>
    </cfRule>
  </conditionalFormatting>
  <conditionalFormatting sqref="C47">
    <cfRule type="cellIs" dxfId="8" priority="9" operator="greaterThan">
      <formula>$C$46</formula>
    </cfRule>
  </conditionalFormatting>
  <conditionalFormatting sqref="C62">
    <cfRule type="cellIs" dxfId="7" priority="8" operator="lessThan">
      <formula>$E$62</formula>
    </cfRule>
  </conditionalFormatting>
  <conditionalFormatting sqref="C78">
    <cfRule type="cellIs" dxfId="6" priority="7" operator="lessThan">
      <formula>1.3</formula>
    </cfRule>
  </conditionalFormatting>
  <conditionalFormatting sqref="C78">
    <cfRule type="cellIs" dxfId="5" priority="6" operator="greaterThan">
      <formula>1.31</formula>
    </cfRule>
  </conditionalFormatting>
  <conditionalFormatting sqref="C78">
    <cfRule type="cellIs" dxfId="4" priority="5" operator="lessThan">
      <formula>$E$63</formula>
    </cfRule>
  </conditionalFormatting>
  <conditionalFormatting sqref="C78">
    <cfRule type="cellIs" dxfId="3" priority="4" operator="lessThan">
      <formula>$E$78</formula>
    </cfRule>
  </conditionalFormatting>
  <conditionalFormatting sqref="C34">
    <cfRule type="cellIs" dxfId="2" priority="3" operator="lessThan">
      <formula>$E$33</formula>
    </cfRule>
  </conditionalFormatting>
  <conditionalFormatting sqref="C34">
    <cfRule type="cellIs" dxfId="1" priority="2" operator="greaterThan">
      <formula>$E$34</formula>
    </cfRule>
  </conditionalFormatting>
  <conditionalFormatting sqref="C30">
    <cfRule type="cellIs" dxfId="0" priority="1" operator="lessThan">
      <formula>$E$30</formula>
    </cfRule>
  </conditionalFormatting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"/>
  <sheetViews>
    <sheetView workbookViewId="0">
      <selection activeCell="D7" sqref="D7"/>
    </sheetView>
  </sheetViews>
  <sheetFormatPr defaultRowHeight="14.4" x14ac:dyDescent="0.3"/>
  <cols>
    <col min="1" max="1" width="15.33203125" customWidth="1"/>
  </cols>
  <sheetData>
    <row r="1" spans="1:13" s="23" customFormat="1" x14ac:dyDescent="0.3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</row>
    <row r="2" spans="1:13" x14ac:dyDescent="0.3">
      <c r="A2" t="s">
        <v>8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</row>
    <row r="3" spans="1:13" x14ac:dyDescent="0.3">
      <c r="A3" t="s">
        <v>9</v>
      </c>
      <c r="B3">
        <v>70</v>
      </c>
      <c r="C3">
        <v>20</v>
      </c>
      <c r="D3">
        <v>100</v>
      </c>
      <c r="E3">
        <v>30</v>
      </c>
      <c r="F3">
        <v>5</v>
      </c>
      <c r="G3">
        <v>5</v>
      </c>
      <c r="H3">
        <v>5</v>
      </c>
      <c r="I3">
        <v>200</v>
      </c>
      <c r="J3">
        <v>0.5</v>
      </c>
      <c r="K3">
        <v>1.2</v>
      </c>
      <c r="L3">
        <v>1.66</v>
      </c>
      <c r="M3">
        <v>150</v>
      </c>
    </row>
    <row r="4" spans="1:13" x14ac:dyDescent="0.3">
      <c r="A4" t="s">
        <v>134</v>
      </c>
      <c r="B4">
        <v>65</v>
      </c>
      <c r="C4">
        <v>3</v>
      </c>
      <c r="D4">
        <v>350</v>
      </c>
      <c r="E4">
        <v>80</v>
      </c>
      <c r="F4">
        <v>0.9</v>
      </c>
      <c r="G4">
        <v>2.4</v>
      </c>
      <c r="H4">
        <v>2.4</v>
      </c>
      <c r="I4">
        <v>60</v>
      </c>
      <c r="J4">
        <v>0.5</v>
      </c>
      <c r="K4">
        <v>1</v>
      </c>
      <c r="L4">
        <v>3</v>
      </c>
      <c r="M4">
        <v>160</v>
      </c>
    </row>
    <row r="5" spans="1:13" x14ac:dyDescent="0.3">
      <c r="A5" t="s">
        <v>135</v>
      </c>
      <c r="B5">
        <v>36</v>
      </c>
      <c r="C5">
        <v>3.3</v>
      </c>
      <c r="D5">
        <v>1000</v>
      </c>
      <c r="E5">
        <v>80</v>
      </c>
      <c r="F5">
        <v>1</v>
      </c>
      <c r="G5">
        <v>2.4</v>
      </c>
      <c r="H5">
        <v>2.4</v>
      </c>
      <c r="I5">
        <v>45</v>
      </c>
      <c r="J5">
        <v>0.5</v>
      </c>
      <c r="K5">
        <v>0.4</v>
      </c>
      <c r="L5">
        <v>4.4000000000000004</v>
      </c>
      <c r="M5">
        <v>150</v>
      </c>
    </row>
    <row r="6" spans="1:13" x14ac:dyDescent="0.3">
      <c r="A6" t="s">
        <v>136</v>
      </c>
      <c r="B6">
        <v>50</v>
      </c>
      <c r="C6">
        <v>10</v>
      </c>
      <c r="D6">
        <v>900</v>
      </c>
      <c r="E6">
        <v>55</v>
      </c>
      <c r="F6">
        <v>0.2</v>
      </c>
      <c r="G6">
        <v>1.4</v>
      </c>
      <c r="H6">
        <v>1.6</v>
      </c>
      <c r="I6">
        <v>145</v>
      </c>
      <c r="J6">
        <v>0.5</v>
      </c>
      <c r="K6">
        <v>0.5</v>
      </c>
      <c r="L6">
        <v>1</v>
      </c>
      <c r="M6">
        <v>160</v>
      </c>
    </row>
    <row r="7" spans="1:13" x14ac:dyDescent="0.3">
      <c r="A7" t="s">
        <v>94</v>
      </c>
      <c r="B7">
        <v>60</v>
      </c>
      <c r="C7">
        <v>15</v>
      </c>
      <c r="D7">
        <v>400</v>
      </c>
      <c r="E7">
        <v>50</v>
      </c>
      <c r="F7">
        <v>0.3</v>
      </c>
      <c r="G7">
        <v>1.5</v>
      </c>
      <c r="H7">
        <v>1.6</v>
      </c>
      <c r="I7">
        <v>200</v>
      </c>
      <c r="J7">
        <v>0.5</v>
      </c>
      <c r="K7">
        <v>0.3</v>
      </c>
      <c r="L7">
        <v>0.8</v>
      </c>
      <c r="M7">
        <v>160</v>
      </c>
    </row>
    <row r="8" spans="1:13" x14ac:dyDescent="0.3">
      <c r="A8" t="s">
        <v>137</v>
      </c>
      <c r="B8">
        <v>100</v>
      </c>
      <c r="C8">
        <v>10</v>
      </c>
      <c r="D8">
        <v>210</v>
      </c>
      <c r="E8">
        <v>38</v>
      </c>
      <c r="F8">
        <v>1.6</v>
      </c>
      <c r="G8">
        <v>1.9</v>
      </c>
      <c r="H8">
        <v>2.8</v>
      </c>
      <c r="I8">
        <v>300</v>
      </c>
      <c r="J8">
        <v>0.5</v>
      </c>
      <c r="K8">
        <v>0.5</v>
      </c>
      <c r="L8">
        <v>0.56999999999999995</v>
      </c>
      <c r="M8">
        <v>200</v>
      </c>
    </row>
  </sheetData>
  <pageMargins left="0.7" right="0.7" top="0.75" bottom="0.75" header="0.3" footer="0.3"/>
  <pageSetup paperSize="9" firstPageNumber="4294967295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G19" sqref="G19"/>
    </sheetView>
  </sheetViews>
  <sheetFormatPr defaultRowHeight="14.4" x14ac:dyDescent="0.3"/>
  <cols>
    <col min="1" max="1" width="15.33203125" customWidth="1"/>
  </cols>
  <sheetData>
    <row r="1" spans="1:10" s="23" customFormat="1" x14ac:dyDescent="0.3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</row>
    <row r="2" spans="1:10" x14ac:dyDescent="0.3">
      <c r="A2" t="s">
        <v>8</v>
      </c>
      <c r="B2" t="s">
        <v>138</v>
      </c>
      <c r="C2" t="s">
        <v>101</v>
      </c>
      <c r="D2" t="s">
        <v>139</v>
      </c>
      <c r="E2" t="s">
        <v>28</v>
      </c>
      <c r="F2" t="s">
        <v>140</v>
      </c>
      <c r="G2" t="s">
        <v>141</v>
      </c>
      <c r="H2" t="s">
        <v>142</v>
      </c>
      <c r="I2" t="s">
        <v>132</v>
      </c>
      <c r="J2" t="s">
        <v>133</v>
      </c>
    </row>
    <row r="3" spans="1:10" x14ac:dyDescent="0.3">
      <c r="A3" t="s">
        <v>143</v>
      </c>
      <c r="B3">
        <v>65</v>
      </c>
      <c r="C3">
        <v>28</v>
      </c>
      <c r="D3">
        <v>0.18</v>
      </c>
      <c r="E3">
        <v>1</v>
      </c>
      <c r="F3">
        <v>16</v>
      </c>
      <c r="G3">
        <v>14</v>
      </c>
      <c r="H3">
        <v>1.8</v>
      </c>
      <c r="I3">
        <v>7</v>
      </c>
      <c r="J3">
        <v>150</v>
      </c>
    </row>
    <row r="4" spans="1:10" x14ac:dyDescent="0.3">
      <c r="A4" t="s">
        <v>100</v>
      </c>
      <c r="B4">
        <v>65</v>
      </c>
      <c r="C4">
        <v>28</v>
      </c>
      <c r="D4">
        <v>2</v>
      </c>
      <c r="E4">
        <f>1/0.45</f>
        <v>2.2222222222222223</v>
      </c>
      <c r="F4">
        <v>105</v>
      </c>
      <c r="G4">
        <v>90</v>
      </c>
      <c r="H4">
        <v>15</v>
      </c>
      <c r="I4">
        <v>1.45</v>
      </c>
      <c r="J4">
        <v>150</v>
      </c>
    </row>
    <row r="5" spans="1:10" x14ac:dyDescent="0.3">
      <c r="A5" t="s">
        <v>144</v>
      </c>
      <c r="B5">
        <v>60</v>
      </c>
      <c r="C5">
        <v>28</v>
      </c>
      <c r="D5">
        <v>0.11</v>
      </c>
      <c r="E5">
        <v>0.2</v>
      </c>
      <c r="F5">
        <v>15</v>
      </c>
      <c r="G5">
        <v>15</v>
      </c>
      <c r="H5">
        <v>0.7</v>
      </c>
      <c r="I5">
        <v>10</v>
      </c>
      <c r="J5">
        <v>150</v>
      </c>
    </row>
  </sheetData>
  <pageMargins left="0.7" right="0.7" top="0.75" bottom="0.75" header="0.3" footer="0.3"/>
  <pageSetup paperSize="9" firstPageNumber="4294967295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Титульный лист</vt:lpstr>
      <vt:lpstr>Расчет УМ на БТ на Pmax</vt:lpstr>
      <vt:lpstr>Расчет УМ на БТ на Pзад.</vt:lpstr>
      <vt:lpstr>Расчет УМ на ПТ</vt:lpstr>
      <vt:lpstr>Расчет УМ на ПТ на Pзад</vt:lpstr>
      <vt:lpstr>Параметры БТ</vt:lpstr>
      <vt:lpstr>Параметры ПТ</vt:lpstr>
      <vt:lpstr>Тип_БТ2</vt:lpstr>
      <vt:lpstr>Тип_ПТ</vt:lpstr>
      <vt:lpstr>Тип_ПТ2</vt:lpstr>
      <vt:lpstr>ТипТранзистора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</cp:lastModifiedBy>
  <cp:revision>1</cp:revision>
  <dcterms:created xsi:type="dcterms:W3CDTF">2006-09-16T00:00:00Z</dcterms:created>
  <dcterms:modified xsi:type="dcterms:W3CDTF">2024-12-02T02:00:35Z</dcterms:modified>
</cp:coreProperties>
</file>