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Титульный лист" sheetId="1" state="visible" r:id="rId1"/>
    <sheet name="Расчет УМ на БТ на Pmax" sheetId="2" state="visible" r:id="rId2"/>
    <sheet name="Расчет УМ на БТ на Pзад." sheetId="3" state="visible" r:id="rId3"/>
    <sheet name="Расчет УМ на ПТ" sheetId="4" state="visible" r:id="rId4"/>
    <sheet name="Расчет УМ на ПТ на Pзад" sheetId="5" state="visible" r:id="rId5"/>
    <sheet name="Параметры БТ" sheetId="6" state="visible" r:id="rId6"/>
    <sheet name="Параметры ПТ" sheetId="7" state="visible" r:id="rId7"/>
  </sheets>
  <definedNames>
    <definedName name="Тип_БТ2">'Расчет УМ на БТ на Pзад.'!$C$3</definedName>
    <definedName name="Тип_ПТ">'Расчет УМ на ПТ'!$C$3</definedName>
    <definedName name="Тип_ПТ2">'Расчет УМ на ПТ на Pзад'!$C$3</definedName>
    <definedName name="ТипТранзистора">'Расчет УМ на БТ на Pmax'!$C$3</definedName>
  </definedNames>
  <calcPr/>
</workbook>
</file>

<file path=xl/sharedStrings.xml><?xml version="1.0" encoding="utf-8"?>
<sst xmlns="http://schemas.openxmlformats.org/spreadsheetml/2006/main" count="145" uniqueCount="145">
  <si>
    <t xml:space="preserve">ПРИМЕР РАСЧЕТА ШИРОКОПОЛОСНОГО ДВУХТАКТНОГО УСИЛИТЕЛЬНОГО КАСКАДА</t>
  </si>
  <si>
    <t xml:space="preserve">по дисциплине</t>
  </si>
  <si>
    <t xml:space="preserve">Генерирование колебаний и формирование сигналов</t>
  </si>
  <si>
    <t>Санкт-Петербург</t>
  </si>
  <si>
    <t xml:space="preserve">№ п/п</t>
  </si>
  <si>
    <t xml:space="preserve">Входные данные</t>
  </si>
  <si>
    <t>Ед.измер.</t>
  </si>
  <si>
    <t xml:space="preserve">Предельные значения</t>
  </si>
  <si>
    <t xml:space="preserve">Тип транзистора</t>
  </si>
  <si>
    <t>2Т912А</t>
  </si>
  <si>
    <t xml:space="preserve">Максимальная выходная частота, МГц</t>
  </si>
  <si>
    <t>МГц</t>
  </si>
  <si>
    <t xml:space="preserve">Температура корпуса транзистора</t>
  </si>
  <si>
    <t>гр.Цельсия</t>
  </si>
  <si>
    <t xml:space="preserve">Угол отсечки</t>
  </si>
  <si>
    <t>гр.</t>
  </si>
  <si>
    <t xml:space="preserve">Расчетное напряжение питания</t>
  </si>
  <si>
    <t>В</t>
  </si>
  <si>
    <t xml:space="preserve">Расчет выходной цепи усилительного каскада</t>
  </si>
  <si>
    <t xml:space="preserve">Расчитываем максимальную мощность рассеиваемую на коллекторе транзистора:</t>
  </si>
  <si>
    <t>1.</t>
  </si>
  <si>
    <t>Pк</t>
  </si>
  <si>
    <t>Вт</t>
  </si>
  <si>
    <t xml:space="preserve">Задаемся напряжением питания исходя из расчетного значения равного, В</t>
  </si>
  <si>
    <t>2.</t>
  </si>
  <si>
    <t>Eк</t>
  </si>
  <si>
    <t xml:space="preserve">Определяем крутизну линии граничного режима</t>
  </si>
  <si>
    <t>3.</t>
  </si>
  <si>
    <t>Sгр</t>
  </si>
  <si>
    <t>А/В</t>
  </si>
  <si>
    <t xml:space="preserve">Расчитываем основные параметры выходной цепи</t>
  </si>
  <si>
    <t>4.</t>
  </si>
  <si>
    <t>Iкm</t>
  </si>
  <si>
    <t>А</t>
  </si>
  <si>
    <t>5.</t>
  </si>
  <si>
    <t>Iк0</t>
  </si>
  <si>
    <t>6.</t>
  </si>
  <si>
    <t>Iк1</t>
  </si>
  <si>
    <t>7.</t>
  </si>
  <si>
    <t>u0</t>
  </si>
  <si>
    <t>8.</t>
  </si>
  <si>
    <t>Uк</t>
  </si>
  <si>
    <t>9.</t>
  </si>
  <si>
    <t>Rк</t>
  </si>
  <si>
    <t>Ом</t>
  </si>
  <si>
    <t xml:space="preserve">Задаемся сопротивлением Rк, равным волновому линии передачи</t>
  </si>
  <si>
    <t>10.</t>
  </si>
  <si>
    <t xml:space="preserve">Производим перерасчет основных параметров выходной цепи</t>
  </si>
  <si>
    <t>11.</t>
  </si>
  <si>
    <t>12.</t>
  </si>
  <si>
    <t>13.</t>
  </si>
  <si>
    <t>14.</t>
  </si>
  <si>
    <t>15.</t>
  </si>
  <si>
    <t>16.</t>
  </si>
  <si>
    <t>uкm</t>
  </si>
  <si>
    <t xml:space="preserve">Производим расчет энергетических параметров выходной цепи</t>
  </si>
  <si>
    <t>17.</t>
  </si>
  <si>
    <t>P1</t>
  </si>
  <si>
    <t>18.</t>
  </si>
  <si>
    <t>P0</t>
  </si>
  <si>
    <t>19.</t>
  </si>
  <si>
    <t>20.</t>
  </si>
  <si>
    <t>кпд</t>
  </si>
  <si>
    <t>%</t>
  </si>
  <si>
    <t xml:space="preserve">Индуктивность монтажа входной цепи</t>
  </si>
  <si>
    <t>нГн</t>
  </si>
  <si>
    <t xml:space="preserve">Индуктивность монтажа эмиттера</t>
  </si>
  <si>
    <t xml:space="preserve">Расчет входной цепи усилительного каскада</t>
  </si>
  <si>
    <t>21.</t>
  </si>
  <si>
    <t>Ri</t>
  </si>
  <si>
    <t>22.</t>
  </si>
  <si>
    <t>Ri'</t>
  </si>
  <si>
    <t>kн</t>
  </si>
  <si>
    <t>Lвх</t>
  </si>
  <si>
    <t>Lэ'</t>
  </si>
  <si>
    <t>rос</t>
  </si>
  <si>
    <t>rвх</t>
  </si>
  <si>
    <t>Qвх</t>
  </si>
  <si>
    <t>Sп</t>
  </si>
  <si>
    <t>Cэ</t>
  </si>
  <si>
    <t>пФ</t>
  </si>
  <si>
    <t>Iг1</t>
  </si>
  <si>
    <t>Uп</t>
  </si>
  <si>
    <t>Cвх</t>
  </si>
  <si>
    <t>Cкор</t>
  </si>
  <si>
    <t>Rкор</t>
  </si>
  <si>
    <t>Rбал</t>
  </si>
  <si>
    <t>W</t>
  </si>
  <si>
    <t>Lбал</t>
  </si>
  <si>
    <t>мкГн</t>
  </si>
  <si>
    <t>Cбал</t>
  </si>
  <si>
    <t>Uвх</t>
  </si>
  <si>
    <t>Pвх</t>
  </si>
  <si>
    <t>Kp</t>
  </si>
  <si>
    <t>2Т931А</t>
  </si>
  <si>
    <t xml:space="preserve">Выходная мощность, Вт</t>
  </si>
  <si>
    <t xml:space="preserve">градусов Цельсия</t>
  </si>
  <si>
    <t>градусов</t>
  </si>
  <si>
    <t xml:space="preserve">Количество двухтактных ячеек</t>
  </si>
  <si>
    <t>Pвых</t>
  </si>
  <si>
    <t>2П979А</t>
  </si>
  <si>
    <t>Eси</t>
  </si>
  <si>
    <t>Uс</t>
  </si>
  <si>
    <t>Rс</t>
  </si>
  <si>
    <t>Uсm</t>
  </si>
  <si>
    <t>Lи0</t>
  </si>
  <si>
    <t>Ku</t>
  </si>
  <si>
    <t xml:space="preserve">Свх кор</t>
  </si>
  <si>
    <t>ws</t>
  </si>
  <si>
    <t>рад*МГц</t>
  </si>
  <si>
    <t>wв</t>
  </si>
  <si>
    <t>Свых</t>
  </si>
  <si>
    <t xml:space="preserve">Если ws&gt;wв</t>
  </si>
  <si>
    <t xml:space="preserve">Входная цепь см.рис.2.8</t>
  </si>
  <si>
    <t>b1</t>
  </si>
  <si>
    <t>b2</t>
  </si>
  <si>
    <t xml:space="preserve">Задаемся новым Rбал равным W</t>
  </si>
  <si>
    <t>С0</t>
  </si>
  <si>
    <t>L</t>
  </si>
  <si>
    <t>M</t>
  </si>
  <si>
    <t xml:space="preserve">Если ws&lt;wв</t>
  </si>
  <si>
    <t xml:space="preserve">Входная цепь см.рис.2.6</t>
  </si>
  <si>
    <t>Uк.доп</t>
  </si>
  <si>
    <t>Iк0доп</t>
  </si>
  <si>
    <t>Fт</t>
  </si>
  <si>
    <t>B0</t>
  </si>
  <si>
    <t>Lэ</t>
  </si>
  <si>
    <t>Lб</t>
  </si>
  <si>
    <t>Lк</t>
  </si>
  <si>
    <t>Cк</t>
  </si>
  <si>
    <t>Rб</t>
  </si>
  <si>
    <t>Rнас</t>
  </si>
  <si>
    <t>Rт.п-к</t>
  </si>
  <si>
    <t>Tп.доп</t>
  </si>
  <si>
    <t>2Т922В</t>
  </si>
  <si>
    <t>2Т925В</t>
  </si>
  <si>
    <t>2Т930Б</t>
  </si>
  <si>
    <t>2Т980А</t>
  </si>
  <si>
    <t>Uси.доп</t>
  </si>
  <si>
    <t>S</t>
  </si>
  <si>
    <t>Сзи</t>
  </si>
  <si>
    <t>Сси</t>
  </si>
  <si>
    <t>Сзс</t>
  </si>
  <si>
    <t>2П821А</t>
  </si>
  <si>
    <t>2П907А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</si>
</sst>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  <fill>
      <patternFill patternType="solid">
        <fgColor indexed="45"/>
        <bgColor indexed="45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60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1" fillId="0" borderId="4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1" fillId="0" borderId="5" numFmtId="0" xfId="0" applyFont="1" applyBorder="1" applyAlignment="1">
      <alignment horizontal="center"/>
    </xf>
    <xf fontId="0" fillId="0" borderId="4" numFmtId="0" xfId="0" applyBorder="1"/>
    <xf fontId="0" fillId="0" borderId="0" numFmtId="0" xfId="0"/>
    <xf fontId="0" fillId="0" borderId="5" numFmtId="0" xfId="0" applyBorder="1"/>
    <xf fontId="0" fillId="0" borderId="0" numFmtId="0" xfId="0" applyAlignment="1">
      <alignment horizontal="center"/>
    </xf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0" numFmtId="2" xfId="0" applyNumberFormat="1" applyAlignment="1">
      <alignment horizontal="right" vertical="center"/>
    </xf>
    <xf fontId="0" fillId="0" borderId="0" numFmtId="160" xfId="0" applyNumberFormat="1" applyAlignment="1">
      <alignment horizontal="center" vertical="center"/>
    </xf>
    <xf fontId="0" fillId="0" borderId="9" numFmtId="0" xfId="0" applyBorder="1"/>
    <xf fontId="0" fillId="0" borderId="9" numFmtId="0" xfId="0" applyBorder="1" applyAlignment="1">
      <alignment horizontal="center" vertical="center"/>
    </xf>
    <xf fontId="0" fillId="0" borderId="9" numFmtId="160" xfId="0" applyNumberFormat="1" applyBorder="1" applyAlignment="1">
      <alignment horizontal="center" vertical="center" wrapText="1"/>
    </xf>
    <xf fontId="0" fillId="2" borderId="0" numFmtId="2" xfId="0" applyNumberFormat="1" applyFill="1" applyAlignment="1">
      <alignment horizontal="right" vertical="center"/>
    </xf>
    <xf fontId="0" fillId="0" borderId="0" numFmtId="0" xfId="0" applyAlignment="1">
      <alignment horizontal="center" wrapText="1"/>
    </xf>
    <xf fontId="0" fillId="0" borderId="0" numFmtId="160" xfId="0" applyNumberFormat="1" applyAlignment="1">
      <alignment horizontal="center" vertical="center" wrapText="1"/>
    </xf>
    <xf fontId="0" fillId="0" borderId="9" numFmtId="2" xfId="0" applyNumberFormat="1" applyBorder="1" applyAlignment="1">
      <alignment horizontal="right" vertical="center"/>
    </xf>
    <xf fontId="0" fillId="0" borderId="9" numFmtId="160" xfId="0" applyNumberFormat="1" applyBorder="1" applyAlignment="1">
      <alignment horizontal="center" vertical="center"/>
    </xf>
    <xf fontId="0" fillId="2" borderId="9" numFmtId="2" xfId="0" applyNumberFormat="1" applyFill="1" applyBorder="1" applyAlignment="1">
      <alignment horizontal="right" vertical="center"/>
    </xf>
    <xf fontId="0" fillId="0" borderId="0" numFmtId="2" xfId="0" applyNumberFormat="1"/>
    <xf fontId="0" fillId="3" borderId="9" numFmtId="2" xfId="0" applyNumberFormat="1" applyFill="1" applyBorder="1" applyAlignment="1">
      <alignment horizontal="right" vertical="center"/>
    </xf>
    <xf fontId="0" fillId="3" borderId="9" numFmtId="160" xfId="0" applyNumberForma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10" numFmtId="0" xfId="0" applyBorder="1"/>
    <xf fontId="0" fillId="0" borderId="11" numFmtId="0" xfId="0" applyBorder="1"/>
    <xf fontId="0" fillId="2" borderId="12" numFmtId="2" xfId="0" applyNumberFormat="1" applyFill="1" applyBorder="1" applyAlignment="1">
      <alignment horizontal="right"/>
    </xf>
    <xf fontId="0" fillId="2" borderId="0" numFmtId="2" xfId="0" applyNumberFormat="1" applyFill="1"/>
    <xf fontId="2" fillId="2" borderId="0" numFmtId="2" xfId="0" applyNumberFormat="1" applyFont="1" applyFill="1"/>
    <xf fontId="0" fillId="0" borderId="0" numFmtId="0" xfId="0" applyAlignment="1">
      <alignment horizontal="center" vertical="center" wrapText="1"/>
    </xf>
    <xf fontId="0" fillId="0" borderId="9" numFmtId="2" xfId="0" applyNumberFormat="1" applyBorder="1"/>
    <xf fontId="0" fillId="2" borderId="9" numFmtId="2" xfId="0" applyNumberFormat="1" applyFill="1" applyBorder="1"/>
    <xf fontId="0" fillId="0" borderId="9" numFmtId="2" xfId="0" applyNumberFormat="1" applyBorder="1" applyAlignment="1">
      <alignment horizontal="center" vertical="center"/>
    </xf>
    <xf fontId="0" fillId="3" borderId="9" numFmtId="2" xfId="0" applyNumberFormat="1" applyFill="1" applyBorder="1"/>
    <xf fontId="0" fillId="3" borderId="9" numFmtId="0" xfId="0" applyFill="1" applyBorder="1" applyAlignment="1">
      <alignment horizontal="center" vertical="center"/>
    </xf>
    <xf fontId="0" fillId="0" borderId="0" numFmtId="160" xfId="0" applyNumberFormat="1" applyAlignment="1">
      <alignment horizontal="right"/>
    </xf>
    <xf fontId="0" fillId="2" borderId="0" numFmtId="160" xfId="0" applyNumberFormat="1" applyFill="1" applyAlignment="1">
      <alignment horizontal="right"/>
    </xf>
    <xf fontId="0" fillId="0" borderId="9" numFmtId="160" xfId="0" applyNumberFormat="1" applyBorder="1" applyAlignment="1">
      <alignment horizontal="right"/>
    </xf>
    <xf fontId="0" fillId="2" borderId="9" numFmtId="160" xfId="0" applyNumberFormat="1" applyFill="1" applyBorder="1" applyAlignment="1">
      <alignment horizontal="right"/>
    </xf>
    <xf fontId="0" fillId="0" borderId="2" numFmtId="160" xfId="0" applyNumberFormat="1" applyBorder="1" applyAlignment="1">
      <alignment horizontal="right"/>
    </xf>
    <xf fontId="0" fillId="0" borderId="3" numFmtId="160" xfId="0" applyNumberFormat="1" applyBorder="1" applyAlignment="1">
      <alignment horizontal="center" vertical="center"/>
    </xf>
    <xf fontId="0" fillId="0" borderId="13" numFmtId="0" xfId="0" applyBorder="1"/>
    <xf fontId="0" fillId="0" borderId="5" numFmtId="160" xfId="0" applyNumberFormat="1" applyBorder="1" applyAlignment="1">
      <alignment horizontal="center" vertical="center"/>
    </xf>
    <xf fontId="0" fillId="0" borderId="14" numFmtId="0" xfId="0" applyBorder="1"/>
    <xf fontId="2" fillId="0" borderId="0" numFmtId="160" xfId="0" applyNumberFormat="1" applyFont="1" applyAlignment="1">
      <alignment horizontal="right"/>
    </xf>
    <xf fontId="2" fillId="2" borderId="0" numFmtId="160" xfId="0" applyNumberFormat="1" applyFont="1" applyFill="1" applyAlignment="1">
      <alignment horizontal="right"/>
    </xf>
    <xf fontId="0" fillId="0" borderId="7" numFmtId="160" xfId="0" applyNumberFormat="1" applyBorder="1" applyAlignment="1">
      <alignment horizontal="right"/>
    </xf>
    <xf fontId="0" fillId="0" borderId="8" numFmtId="160" xfId="0" applyNumberFormat="1" applyBorder="1" applyAlignment="1">
      <alignment horizontal="center" vertical="center"/>
    </xf>
    <xf fontId="0" fillId="0" borderId="15" numFmtId="0" xfId="0" applyBorder="1"/>
    <xf fontId="0" fillId="4" borderId="13" numFmtId="0" xfId="0" applyFill="1" applyBorder="1"/>
    <xf fontId="0" fillId="4" borderId="14" numFmtId="0" xfId="0" applyFill="1" applyBorder="1"/>
    <xf fontId="0" fillId="3" borderId="0" numFmtId="2" xfId="0" applyNumberFormat="1" applyFill="1" applyAlignment="1">
      <alignment horizontal="right" vertical="center"/>
    </xf>
    <xf fontId="0" fillId="3" borderId="5" numFmtId="160" xfId="0" applyNumberFormat="1" applyFill="1" applyBorder="1" applyAlignment="1">
      <alignment horizontal="center" vertical="center"/>
    </xf>
    <xf fontId="0" fillId="0" borderId="7" numFmtId="2" xfId="0" applyNumberFormat="1" applyBorder="1" applyAlignment="1">
      <alignment horizontal="right" vertical="center"/>
    </xf>
    <xf fontId="0" fillId="4" borderId="15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Параметры_БТ" ref="A2:M8">
  <autoFilter ref="A2:M8"/>
  <sortState ref="A3:M8">
    <sortCondition ref="A3:A8"/>
  </sortState>
  <tableColumns count="13">
    <tableColumn id="1" name="Тип транзистора"/>
    <tableColumn id="2" name="Uк.доп"/>
    <tableColumn id="3" name="Iк0доп"/>
    <tableColumn id="4" name="Fт"/>
    <tableColumn id="5" name="B0"/>
    <tableColumn id="6" name="Lэ"/>
    <tableColumn id="7" name="Lб"/>
    <tableColumn id="8" name="Lк"/>
    <tableColumn id="9" name="Cк"/>
    <tableColumn id="10" name="Rб"/>
    <tableColumn id="11" name="Rнас"/>
    <tableColumn id="12" name="Rт.п-к"/>
    <tableColumn id="13" name="Tп.до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Параметры_ПТ" ref="A2:J5">
  <autoFilter ref="A2:J5"/>
  <sortState ref="A3:M7">
    <sortCondition ref="A2:A6"/>
  </sortState>
  <tableColumns count="10">
    <tableColumn id="1" name="Тип транзистора"/>
    <tableColumn id="2" name="Uси.доп"/>
    <tableColumn id="3" name="Eси"/>
    <tableColumn id="4" name="S"/>
    <tableColumn id="5" name="Sгр"/>
    <tableColumn id="6" name="Сзи"/>
    <tableColumn id="7" name="Сси"/>
    <tableColumn id="8" name="Сзс"/>
    <tableColumn id="9" name="Rт.п-к"/>
    <tableColumn id="10" name="Tп.доп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7" activeCellId="0" sqref="I17"/>
    </sheetView>
  </sheetViews>
  <sheetFormatPr defaultRowHeight="14.25"/>
  <sheetData>
    <row r="1" ht="14.65"/>
    <row r="2">
      <c r="B2" s="1"/>
      <c r="C2" s="2"/>
      <c r="D2" s="2"/>
      <c r="E2" s="2"/>
      <c r="F2" s="2"/>
      <c r="G2" s="2"/>
      <c r="H2" s="2"/>
      <c r="I2" s="2"/>
      <c r="J2" s="2"/>
      <c r="K2" s="3"/>
    </row>
    <row r="3">
      <c r="B3" s="4" t="s">
        <v>0</v>
      </c>
      <c r="C3" s="5"/>
      <c r="D3" s="5"/>
      <c r="E3" s="5"/>
      <c r="F3" s="5"/>
      <c r="G3" s="5"/>
      <c r="H3" s="5"/>
      <c r="I3" s="5"/>
      <c r="J3" s="5"/>
      <c r="K3" s="6"/>
    </row>
    <row r="4">
      <c r="B4" s="7"/>
      <c r="C4" s="8"/>
      <c r="D4" s="8"/>
      <c r="E4" s="8"/>
      <c r="F4" s="8"/>
      <c r="G4" s="8"/>
      <c r="H4" s="8"/>
      <c r="I4" s="8"/>
      <c r="J4" s="8"/>
      <c r="K4" s="9"/>
    </row>
    <row r="5">
      <c r="B5" s="7"/>
      <c r="C5" s="10" t="s">
        <v>1</v>
      </c>
      <c r="D5" s="10"/>
      <c r="E5" s="10"/>
      <c r="F5" s="10"/>
      <c r="G5" s="10"/>
      <c r="H5" s="10"/>
      <c r="I5" s="10"/>
      <c r="J5" s="10"/>
      <c r="K5" s="9"/>
    </row>
    <row r="6">
      <c r="B6" s="7"/>
      <c r="C6" s="10" t="s">
        <v>2</v>
      </c>
      <c r="D6" s="10"/>
      <c r="E6" s="10"/>
      <c r="F6" s="10"/>
      <c r="G6" s="10"/>
      <c r="H6" s="10"/>
      <c r="I6" s="10"/>
      <c r="J6" s="10"/>
      <c r="K6" s="9"/>
    </row>
    <row r="7">
      <c r="B7" s="7"/>
      <c r="C7" s="8"/>
      <c r="D7" s="8"/>
      <c r="E7" s="8"/>
      <c r="F7" s="8"/>
      <c r="G7" s="8"/>
      <c r="H7" s="8"/>
      <c r="I7" s="8"/>
      <c r="J7" s="8"/>
      <c r="K7" s="9"/>
    </row>
    <row r="8">
      <c r="B8" s="7"/>
      <c r="C8" s="8"/>
      <c r="D8" s="8"/>
      <c r="E8" s="8"/>
      <c r="F8" s="8"/>
      <c r="G8" s="8"/>
      <c r="H8" s="8"/>
      <c r="I8" s="8"/>
      <c r="J8" s="8"/>
      <c r="K8" s="9"/>
    </row>
    <row r="9">
      <c r="B9" s="7"/>
      <c r="C9" s="10" t="s">
        <v>3</v>
      </c>
      <c r="D9" s="10"/>
      <c r="E9" s="10"/>
      <c r="F9" s="10"/>
      <c r="G9" s="10"/>
      <c r="H9" s="10"/>
      <c r="I9" s="10"/>
      <c r="J9" s="10"/>
      <c r="K9" s="9"/>
    </row>
    <row r="10">
      <c r="B10" s="7"/>
      <c r="C10" s="10">
        <v>2021</v>
      </c>
      <c r="D10" s="10"/>
      <c r="E10" s="10"/>
      <c r="F10" s="10"/>
      <c r="G10" s="10"/>
      <c r="H10" s="10"/>
      <c r="I10" s="10"/>
      <c r="J10" s="10"/>
      <c r="K10" s="9"/>
    </row>
    <row r="11">
      <c r="B11" s="7"/>
      <c r="C11" s="8"/>
      <c r="D11" s="8"/>
      <c r="E11" s="8"/>
      <c r="F11" s="8"/>
      <c r="G11" s="8"/>
      <c r="H11" s="8"/>
      <c r="I11" s="8"/>
      <c r="J11" s="8"/>
      <c r="K11" s="9"/>
    </row>
    <row r="12" ht="14.65">
      <c r="B12" s="11"/>
      <c r="C12" s="12"/>
      <c r="D12" s="12"/>
      <c r="E12" s="12"/>
      <c r="F12" s="12"/>
      <c r="G12" s="12"/>
      <c r="H12" s="12"/>
      <c r="I12" s="12"/>
      <c r="J12" s="12"/>
      <c r="K12" s="13"/>
    </row>
  </sheetData>
  <mergeCells count="5">
    <mergeCell ref="B3:K3"/>
    <mergeCell ref="C5:J5"/>
    <mergeCell ref="C6:J6"/>
    <mergeCell ref="C9:J9"/>
    <mergeCell ref="C10:J10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5" activeCellId="0" sqref="C15"/>
    </sheetView>
  </sheetViews>
  <sheetFormatPr defaultRowHeight="14.25"/>
  <cols>
    <col customWidth="1" min="1" max="1" width="4.86328125"/>
    <col customWidth="1" min="2" max="2" width="28.1328125"/>
    <col customWidth="1" min="3" max="3" style="14" width="11.265625"/>
    <col customWidth="1" min="4" max="4" width="9.86328125"/>
    <col customWidth="1" min="5" max="5" style="15" width="11.59765625"/>
    <col customWidth="1" min="7" max="7" width="16.53125"/>
  </cols>
  <sheetData>
    <row r="1" ht="28.5">
      <c r="A1" s="16" t="s">
        <v>4</v>
      </c>
      <c r="B1" s="17" t="s">
        <v>5</v>
      </c>
      <c r="C1" s="17"/>
      <c r="D1" s="17" t="s">
        <v>6</v>
      </c>
      <c r="E1" s="18" t="s">
        <v>7</v>
      </c>
    </row>
    <row r="3">
      <c r="A3" s="8" t="s">
        <v>8</v>
      </c>
      <c r="B3" s="8"/>
      <c r="C3" s="19" t="s">
        <v>9</v>
      </c>
      <c r="D3" s="8"/>
      <c r="E3" s="15"/>
    </row>
    <row r="4">
      <c r="A4" s="8" t="s">
        <v>10</v>
      </c>
      <c r="B4" s="8"/>
      <c r="C4" s="19">
        <v>30</v>
      </c>
      <c r="D4" s="8" t="s">
        <v>11</v>
      </c>
      <c r="E4" s="15"/>
      <c r="H4" s="8"/>
    </row>
    <row r="5">
      <c r="A5" s="8" t="s">
        <v>12</v>
      </c>
      <c r="B5" s="8"/>
      <c r="C5" s="19">
        <v>60</v>
      </c>
      <c r="D5" s="8" t="s">
        <v>13</v>
      </c>
      <c r="E5" s="15"/>
    </row>
    <row r="6">
      <c r="A6" s="8" t="s">
        <v>14</v>
      </c>
      <c r="B6" s="8"/>
      <c r="C6" s="14">
        <v>90</v>
      </c>
      <c r="D6" s="8" t="s">
        <v>15</v>
      </c>
      <c r="E6" s="15"/>
    </row>
    <row r="7">
      <c r="A7" s="8" t="s">
        <v>16</v>
      </c>
      <c r="B7" s="8"/>
      <c r="C7" s="14">
        <f>VLOOKUP(ТипТранзистора,Параметры_БТ[],2,FALSE)/2</f>
        <v>35</v>
      </c>
      <c r="D7" s="8" t="s">
        <v>17</v>
      </c>
      <c r="E7" s="15"/>
    </row>
    <row r="8">
      <c r="A8" s="8"/>
      <c r="B8" s="8"/>
      <c r="C8" s="14"/>
      <c r="D8" s="8"/>
      <c r="E8" s="15"/>
    </row>
    <row r="9">
      <c r="A9" s="8" t="s">
        <v>18</v>
      </c>
      <c r="B9" s="8"/>
      <c r="C9" s="14"/>
      <c r="D9" s="8"/>
      <c r="E9" s="15"/>
    </row>
    <row r="10" ht="32.450000000000003" customHeight="1">
      <c r="A10" s="20" t="s">
        <v>19</v>
      </c>
      <c r="B10" s="20"/>
      <c r="C10" s="20"/>
      <c r="D10" s="20"/>
      <c r="E10" s="21"/>
    </row>
    <row r="11">
      <c r="A11" s="16" t="s">
        <v>20</v>
      </c>
      <c r="B11" s="16" t="s">
        <v>21</v>
      </c>
      <c r="C11" s="22">
        <f>(VLOOKUP(ТипТранзистора,Параметры_БТ[],13,FALSE)*0.8-C5)/VLOOKUP($C$3,Параметры_БТ[],12,FALSE)</f>
        <v>36.144578313253014</v>
      </c>
      <c r="D11" s="16" t="s">
        <v>22</v>
      </c>
      <c r="E11" s="23"/>
    </row>
    <row r="12" ht="29.100000000000001" customHeight="1">
      <c r="A12" s="20" t="s">
        <v>23</v>
      </c>
      <c r="B12" s="20"/>
      <c r="C12" s="20"/>
      <c r="D12" s="20"/>
      <c r="E12" s="15">
        <f>C7</f>
        <v>35</v>
      </c>
    </row>
    <row r="13">
      <c r="A13" s="16" t="s">
        <v>24</v>
      </c>
      <c r="B13" s="16" t="s">
        <v>25</v>
      </c>
      <c r="C13" s="24">
        <v>38</v>
      </c>
      <c r="D13" s="16" t="s">
        <v>17</v>
      </c>
      <c r="E13" s="23"/>
      <c r="H13" s="25"/>
    </row>
    <row r="14">
      <c r="A14" t="s">
        <v>26</v>
      </c>
      <c r="C14" s="14"/>
      <c r="H14" s="25"/>
    </row>
    <row r="15">
      <c r="A15" s="16" t="s">
        <v>27</v>
      </c>
      <c r="B15" s="16" t="s">
        <v>28</v>
      </c>
      <c r="C15" s="22">
        <f>1/VLOOKUP(ТипТранзистора,Параметры_БТ[],11,FALSE)</f>
        <v>0.83333333333333337</v>
      </c>
      <c r="D15" s="16" t="s">
        <v>29</v>
      </c>
      <c r="E15" s="23"/>
      <c r="H15" s="25"/>
    </row>
    <row r="16">
      <c r="A16" t="s">
        <v>30</v>
      </c>
      <c r="H16" s="25"/>
    </row>
    <row r="17">
      <c r="A17" s="16" t="s">
        <v>31</v>
      </c>
      <c r="B17" s="16" t="s">
        <v>32</v>
      </c>
      <c r="C17" s="22">
        <f>0.137*C15*C13*(SQRT(1+214*C11/(C15*C13*C13))-1)</f>
        <v>7.4854579252084434</v>
      </c>
      <c r="D17" s="16" t="s">
        <v>33</v>
      </c>
      <c r="E17" s="23">
        <f>E18/0.316</f>
        <v>63.291139240506325</v>
      </c>
      <c r="H17" s="25"/>
    </row>
    <row r="18">
      <c r="A18" s="16" t="s">
        <v>34</v>
      </c>
      <c r="B18" s="16" t="s">
        <v>35</v>
      </c>
      <c r="C18" s="22">
        <f>C17/3.1415</f>
        <v>2.3827655340469338</v>
      </c>
      <c r="D18" s="16" t="s">
        <v>33</v>
      </c>
      <c r="E18" s="23">
        <f>VLOOKUP(ТипТранзистора,Параметры_БТ[],3,FALSE)</f>
        <v>20</v>
      </c>
      <c r="H18" s="25"/>
    </row>
    <row r="19">
      <c r="A19" s="16" t="s">
        <v>36</v>
      </c>
      <c r="B19" s="16" t="s">
        <v>37</v>
      </c>
      <c r="C19" s="22">
        <f>C17*0.5</f>
        <v>3.7427289626042217</v>
      </c>
      <c r="D19" s="16" t="s">
        <v>33</v>
      </c>
      <c r="E19" s="23">
        <f>E18/0.316*0.5</f>
        <v>31.645569620253163</v>
      </c>
      <c r="H19" s="25"/>
    </row>
    <row r="20">
      <c r="A20" s="16" t="s">
        <v>38</v>
      </c>
      <c r="B20" s="16" t="s">
        <v>39</v>
      </c>
      <c r="C20" s="22">
        <f>C17/C15</f>
        <v>8.9825495102501325</v>
      </c>
      <c r="D20" s="16" t="s">
        <v>17</v>
      </c>
      <c r="E20" s="23"/>
      <c r="H20" s="25"/>
    </row>
    <row r="21">
      <c r="A21" s="16" t="s">
        <v>40</v>
      </c>
      <c r="B21" s="16" t="s">
        <v>41</v>
      </c>
      <c r="C21" s="22">
        <f>C13-C20</f>
        <v>29.017450489749869</v>
      </c>
      <c r="D21" s="16" t="s">
        <v>17</v>
      </c>
      <c r="E21" s="23"/>
      <c r="H21" s="25"/>
    </row>
    <row r="22">
      <c r="A22" s="16" t="s">
        <v>42</v>
      </c>
      <c r="B22" s="16" t="s">
        <v>43</v>
      </c>
      <c r="C22" s="22">
        <f>C21/C19</f>
        <v>7.7530194624510793</v>
      </c>
      <c r="D22" s="16" t="s">
        <v>44</v>
      </c>
      <c r="E22" s="23"/>
      <c r="H22" s="25"/>
    </row>
    <row r="23">
      <c r="A23" t="s">
        <v>45</v>
      </c>
    </row>
    <row r="24">
      <c r="A24" s="16" t="s">
        <v>46</v>
      </c>
      <c r="B24" s="16" t="s">
        <v>43</v>
      </c>
      <c r="C24" s="24">
        <v>9.4000000000000004</v>
      </c>
      <c r="D24" s="16" t="s">
        <v>44</v>
      </c>
      <c r="E24" s="23">
        <f>1000000/(2*3.14*C4*VLOOKUP(ТипТранзистора,Параметры_БТ[],9,FALSE))</f>
        <v>26.53927813163482</v>
      </c>
      <c r="H24" s="25"/>
    </row>
    <row r="25">
      <c r="A25" t="s">
        <v>47</v>
      </c>
      <c r="C25" s="14"/>
      <c r="H25" s="25"/>
    </row>
    <row r="26">
      <c r="A26" s="16" t="s">
        <v>48</v>
      </c>
      <c r="B26" s="16" t="s">
        <v>32</v>
      </c>
      <c r="C26" s="22">
        <f>2*C15*C13/(2+C15*C24)</f>
        <v>6.4406779661016946</v>
      </c>
      <c r="D26" s="16" t="s">
        <v>33</v>
      </c>
      <c r="E26" s="23">
        <f>E27/0.316</f>
        <v>63.291139240506325</v>
      </c>
      <c r="H26" s="25"/>
    </row>
    <row r="27">
      <c r="A27" s="16" t="s">
        <v>49</v>
      </c>
      <c r="B27" s="16" t="s">
        <v>35</v>
      </c>
      <c r="C27" s="22">
        <f>C26/3.1415</f>
        <v>2.0501919357318776</v>
      </c>
      <c r="D27" s="16" t="s">
        <v>33</v>
      </c>
      <c r="E27" s="23">
        <f>VLOOKUP(ТипТранзистора,Параметры_БТ[],3,FALSE)</f>
        <v>20</v>
      </c>
      <c r="H27" s="25"/>
    </row>
    <row r="28">
      <c r="A28" s="16" t="s">
        <v>50</v>
      </c>
      <c r="B28" s="16" t="s">
        <v>37</v>
      </c>
      <c r="C28" s="22">
        <f>C26*0.5</f>
        <v>3.2203389830508473</v>
      </c>
      <c r="D28" s="16" t="s">
        <v>33</v>
      </c>
      <c r="E28" s="23">
        <f>E27/0.316*0.5</f>
        <v>31.645569620253163</v>
      </c>
      <c r="H28" s="25"/>
    </row>
    <row r="29">
      <c r="A29" s="16" t="s">
        <v>51</v>
      </c>
      <c r="B29" s="16" t="s">
        <v>39</v>
      </c>
      <c r="C29" s="22">
        <f>C26/C15</f>
        <v>7.7288135593220328</v>
      </c>
      <c r="D29" s="16" t="s">
        <v>17</v>
      </c>
      <c r="E29" s="23"/>
      <c r="H29" s="25"/>
    </row>
    <row r="30">
      <c r="A30" s="16" t="s">
        <v>52</v>
      </c>
      <c r="B30" s="16" t="s">
        <v>41</v>
      </c>
      <c r="C30" s="22">
        <f>C13-C29</f>
        <v>30.271186440677965</v>
      </c>
      <c r="D30" s="16" t="s">
        <v>17</v>
      </c>
      <c r="E30" s="23"/>
      <c r="H30" s="25"/>
    </row>
    <row r="31">
      <c r="A31" s="16" t="s">
        <v>53</v>
      </c>
      <c r="B31" s="16" t="s">
        <v>54</v>
      </c>
      <c r="C31" s="22">
        <f>C30+C13</f>
        <v>68.271186440677965</v>
      </c>
      <c r="D31" s="16" t="s">
        <v>17</v>
      </c>
      <c r="E31" s="23">
        <f>VLOOKUP(ТипТранзистора,Параметры_БТ[],2,FALSE)</f>
        <v>70</v>
      </c>
      <c r="H31" s="25"/>
    </row>
    <row r="32">
      <c r="A32" t="s">
        <v>55</v>
      </c>
      <c r="H32" s="25"/>
    </row>
    <row r="33">
      <c r="A33" s="16" t="s">
        <v>56</v>
      </c>
      <c r="B33" s="16" t="s">
        <v>57</v>
      </c>
      <c r="C33" s="22">
        <f>0.5*C30*C28</f>
        <v>48.741740879057737</v>
      </c>
      <c r="D33" s="16" t="s">
        <v>22</v>
      </c>
      <c r="E33" s="23"/>
      <c r="H33" s="25"/>
    </row>
    <row r="34">
      <c r="A34" s="16" t="s">
        <v>58</v>
      </c>
      <c r="B34" s="16" t="s">
        <v>59</v>
      </c>
      <c r="C34" s="22">
        <f>C27*C13</f>
        <v>77.907293557811357</v>
      </c>
      <c r="D34" s="16" t="s">
        <v>22</v>
      </c>
      <c r="E34" s="23"/>
      <c r="H34" s="25"/>
    </row>
    <row r="35">
      <c r="A35" s="16" t="s">
        <v>60</v>
      </c>
      <c r="B35" s="16" t="s">
        <v>21</v>
      </c>
      <c r="C35" s="22">
        <f>C34-C33</f>
        <v>29.16555267875362</v>
      </c>
      <c r="D35" s="16" t="s">
        <v>22</v>
      </c>
      <c r="E35" s="23">
        <f>C11</f>
        <v>36.144578313253014</v>
      </c>
      <c r="H35" s="25"/>
    </row>
    <row r="36">
      <c r="A36" s="16" t="s">
        <v>61</v>
      </c>
      <c r="B36" s="16" t="s">
        <v>62</v>
      </c>
      <c r="C36" s="22">
        <f>C33/C34*100</f>
        <v>62.563771186440675</v>
      </c>
      <c r="D36" s="16" t="s">
        <v>63</v>
      </c>
      <c r="E36" s="23">
        <v>60</v>
      </c>
      <c r="H36" s="25"/>
    </row>
    <row r="38">
      <c r="A38" t="s">
        <v>64</v>
      </c>
      <c r="C38" s="19">
        <v>15</v>
      </c>
      <c r="D38" t="s">
        <v>65</v>
      </c>
      <c r="H38" s="8"/>
    </row>
    <row r="39">
      <c r="A39" t="s">
        <v>66</v>
      </c>
      <c r="C39" s="19">
        <v>5.5</v>
      </c>
      <c r="D39" t="s">
        <v>65</v>
      </c>
      <c r="H39" s="8"/>
    </row>
    <row r="41">
      <c r="A41" t="s">
        <v>67</v>
      </c>
    </row>
    <row r="42">
      <c r="A42" s="16" t="s">
        <v>68</v>
      </c>
      <c r="B42" s="16" t="s">
        <v>69</v>
      </c>
      <c r="C42" s="22">
        <f>1000000/(6.28*VLOOKUP(ТипТранзистора,Параметры_БТ[],4,FALSE)*VLOOKUP(ТипТранзистора,Параметры_БТ[],9,FALSE))</f>
        <v>7.9617834394904454</v>
      </c>
      <c r="D42" s="16" t="s">
        <v>44</v>
      </c>
      <c r="E42" s="23"/>
      <c r="H42" s="25"/>
    </row>
    <row r="43">
      <c r="A43" s="16" t="s">
        <v>70</v>
      </c>
      <c r="B43" s="16" t="s">
        <v>71</v>
      </c>
      <c r="C43" s="22">
        <f>2*C42</f>
        <v>15.923566878980891</v>
      </c>
      <c r="D43" s="16" t="s">
        <v>44</v>
      </c>
      <c r="E43" s="23"/>
      <c r="H43" s="25"/>
    </row>
    <row r="44">
      <c r="A44" s="16"/>
      <c r="B44" s="16" t="s">
        <v>72</v>
      </c>
      <c r="C44" s="22">
        <f>1/(1+C24/C43)</f>
        <v>0.6288042658081392</v>
      </c>
      <c r="D44" s="16"/>
      <c r="E44" s="23"/>
      <c r="H44" s="25"/>
    </row>
    <row r="45">
      <c r="A45" s="16"/>
      <c r="B45" s="16" t="s">
        <v>73</v>
      </c>
      <c r="C45" s="22">
        <f>VLOOKUP(ТипТранзистора,Параметры_БТ[],6,FALSE)+VLOOKUP(ТипТранзистора,Параметры_БТ[],7,FALSE)+C38</f>
        <v>25</v>
      </c>
      <c r="D45" s="16" t="s">
        <v>65</v>
      </c>
      <c r="E45" s="23"/>
      <c r="H45" s="25"/>
    </row>
    <row r="46">
      <c r="A46" s="16"/>
      <c r="B46" s="16" t="s">
        <v>74</v>
      </c>
      <c r="C46" s="22">
        <f>VLOOKUP(ТипТранзистора,Параметры_БТ[],6,FALSE)+$C$39</f>
        <v>10.5</v>
      </c>
      <c r="D46" s="16" t="s">
        <v>65</v>
      </c>
      <c r="E46" s="23"/>
      <c r="H46" s="25"/>
    </row>
    <row r="47">
      <c r="A47" s="16"/>
      <c r="B47" s="16" t="s">
        <v>75</v>
      </c>
      <c r="C47" s="22">
        <f>C44*6.28*VLOOKUP(ТипТранзистора,Параметры_БТ[],4,FALSE)*C46/1000</f>
        <v>4.1463353287388696</v>
      </c>
      <c r="D47" s="16" t="s">
        <v>44</v>
      </c>
      <c r="E47" s="23"/>
      <c r="H47" s="25"/>
    </row>
    <row r="48">
      <c r="A48" s="16"/>
      <c r="B48" s="16" t="s">
        <v>76</v>
      </c>
      <c r="C48" s="22">
        <f>VLOOKUP(ТипТранзистора,Параметры_БТ[],10,FALSE)+$C$47</f>
        <v>4.6463353287388696</v>
      </c>
      <c r="D48" s="16" t="s">
        <v>44</v>
      </c>
      <c r="E48" s="23"/>
      <c r="H48" s="25"/>
    </row>
    <row r="49">
      <c r="A49" s="16"/>
      <c r="B49" s="16" t="s">
        <v>77</v>
      </c>
      <c r="C49" s="26">
        <f>6.28*C4*C45/C48/1000</f>
        <v>1.0137021258167371</v>
      </c>
      <c r="D49" s="16"/>
      <c r="E49" s="27">
        <v>1</v>
      </c>
      <c r="H49" s="25"/>
    </row>
    <row r="50">
      <c r="A50" s="16"/>
      <c r="B50" s="16" t="s">
        <v>78</v>
      </c>
      <c r="C50" s="22">
        <f>$C$27/0.025*2</f>
        <v>164.01535485855021</v>
      </c>
      <c r="D50" s="16" t="s">
        <v>29</v>
      </c>
      <c r="E50" s="23"/>
      <c r="H50" s="25"/>
    </row>
    <row r="51">
      <c r="A51" s="16"/>
      <c r="B51" s="16" t="s">
        <v>79</v>
      </c>
      <c r="C51" s="22">
        <f>1000000*C50/(6.28*VLOOKUP(ТипТранзистора,Параметры_БТ[],4,FALSE))</f>
        <v>261170.9472269908</v>
      </c>
      <c r="D51" s="16" t="s">
        <v>80</v>
      </c>
      <c r="E51" s="23"/>
      <c r="H51" s="25"/>
    </row>
    <row r="52">
      <c r="A52" s="16"/>
      <c r="B52" s="16" t="s">
        <v>81</v>
      </c>
      <c r="C52" s="22">
        <f>$C$28/$C$44</f>
        <v>5.1213694915254235</v>
      </c>
      <c r="D52" s="16" t="s">
        <v>33</v>
      </c>
      <c r="E52" s="23"/>
      <c r="H52" s="25"/>
    </row>
    <row r="53">
      <c r="A53" s="16"/>
      <c r="B53" s="16" t="s">
        <v>82</v>
      </c>
      <c r="C53" s="22">
        <f>C52/(0.5*C50)</f>
        <v>0.062449878500000007</v>
      </c>
      <c r="D53" s="16" t="s">
        <v>17</v>
      </c>
      <c r="E53" s="23"/>
      <c r="H53" s="25"/>
    </row>
    <row r="54">
      <c r="A54" s="16"/>
      <c r="B54" s="16" t="s">
        <v>83</v>
      </c>
      <c r="C54" s="22">
        <f>1000000000/(6.28*C4*6.28*C4*$C$45)</f>
        <v>1126.9332539972322</v>
      </c>
      <c r="D54" s="16" t="s">
        <v>80</v>
      </c>
      <c r="E54" s="23"/>
      <c r="H54" s="25"/>
    </row>
    <row r="55">
      <c r="A55" s="16"/>
      <c r="B55" s="16" t="s">
        <v>84</v>
      </c>
      <c r="C55" s="22">
        <f>C51*C54/(C51-C54)</f>
        <v>1131.8169601805118</v>
      </c>
      <c r="D55" s="16" t="s">
        <v>80</v>
      </c>
      <c r="E55" s="23"/>
      <c r="H55" s="25"/>
    </row>
    <row r="56">
      <c r="A56" s="16"/>
      <c r="B56" s="16" t="s">
        <v>85</v>
      </c>
      <c r="C56" s="22">
        <f>1000000*VLOOKUP(ТипТранзистора,Параметры_БТ[],5,FALSE)/(C44*6.28*VLOOKUP(ТипТранзистора,Параметры_БТ[],4,FALSE)*C55)</f>
        <v>67.122779839618431</v>
      </c>
      <c r="D56" s="16" t="s">
        <v>44</v>
      </c>
      <c r="E56" s="23"/>
      <c r="H56" s="25"/>
    </row>
    <row r="57">
      <c r="A57" s="16"/>
      <c r="B57" s="16" t="s">
        <v>86</v>
      </c>
      <c r="C57" s="26">
        <f>2*C48</f>
        <v>9.2926706574777391</v>
      </c>
      <c r="D57" s="16" t="s">
        <v>44</v>
      </c>
      <c r="E57" s="27" t="s">
        <v>87</v>
      </c>
      <c r="H57" s="25"/>
    </row>
    <row r="58">
      <c r="A58" s="16"/>
      <c r="B58" s="16" t="s">
        <v>88</v>
      </c>
      <c r="C58" s="22">
        <f>C57/(6.28*C4)</f>
        <v>0.049324154232896704</v>
      </c>
      <c r="D58" s="16" t="s">
        <v>89</v>
      </c>
      <c r="E58" s="23"/>
      <c r="H58" s="25"/>
    </row>
    <row r="59">
      <c r="A59" s="16"/>
      <c r="B59" s="16" t="s">
        <v>90</v>
      </c>
      <c r="C59" s="22">
        <f>1000000/(6.28*C4*C57)</f>
        <v>571.18731761528363</v>
      </c>
      <c r="D59" s="16" t="s">
        <v>80</v>
      </c>
      <c r="E59" s="23"/>
      <c r="H59" s="25"/>
    </row>
    <row r="60">
      <c r="A60" s="16"/>
      <c r="B60" s="16" t="s">
        <v>91</v>
      </c>
      <c r="C60" s="22">
        <f>C53*C51/C54</f>
        <v>14.472990183050849</v>
      </c>
      <c r="D60" s="16" t="s">
        <v>17</v>
      </c>
      <c r="E60" s="23"/>
      <c r="H60" s="25"/>
    </row>
    <row r="61">
      <c r="A61" s="16"/>
      <c r="B61" s="16" t="s">
        <v>92</v>
      </c>
      <c r="C61" s="22">
        <f>C60*C60/(2*C57)</f>
        <v>11.270572936431865</v>
      </c>
      <c r="D61" s="16" t="s">
        <v>22</v>
      </c>
      <c r="E61" s="23"/>
      <c r="H61" s="25"/>
    </row>
    <row r="62">
      <c r="A62" s="16"/>
      <c r="B62" s="16" t="s">
        <v>93</v>
      </c>
      <c r="C62" s="22">
        <f>C33/C61</f>
        <v>4.3246906039267259</v>
      </c>
      <c r="D62" s="16"/>
      <c r="E62" s="23">
        <v>1.5</v>
      </c>
    </row>
  </sheetData>
  <mergeCells count="3">
    <mergeCell ref="B1:C1"/>
    <mergeCell ref="A10:D10"/>
    <mergeCell ref="A12:D12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lessThan" id="{00020023-0025-452D-9956-0058006600D7}">
            <xm:f>1.3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ellIs" priority="14" operator="greaterThan" id="{00B0005F-0075-4F99-969C-00A600CD0099}">
            <xm:f>1.31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ellIs" priority="12" operator="greaterThan" id="{002900C8-00B5-4CCA-988B-00A600B100A6}">
            <xm:f>$E$31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C31:C32</xm:sqref>
        </x14:conditionalFormatting>
        <x14:conditionalFormatting xmlns:xm="http://schemas.microsoft.com/office/excel/2006/main">
          <x14:cfRule type="cellIs" priority="11" operator="lessThan" id="{00F30031-00F2-401C-ABB2-003D00930090}">
            <xm:f>$E$36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cellIs" priority="10" operator="greaterThan" id="{00470088-00C5-41AE-B13D-00A200890059}">
            <xm:f>$E$27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ellIs" priority="9" operator="lessThan" id="{004900DC-003D-41A3-AD9E-00DE002E0093}">
            <xm:f>$E$62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ellIs" priority="8" operator="greaterThan" id="{00C800E1-00BA-4037-BCDF-00F2008200EE}">
            <xm:f>$E$27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ellIs" priority="7" operator="greaterThan" id="{006A005D-004E-4611-BD3F-001D001F004E}">
            <xm:f>$E$19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ellIs" priority="6" operator="greaterThan" id="{005800CD-0079-42C5-B979-00F1000000D7}">
            <xm:f>$E$28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5" operator="greaterThan" id="{00D60095-0060-44E8-91CE-008400AB00A8}">
            <xm:f>$E$17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ellIs" priority="4" operator="greaterThan" id="{009000E2-0070-4542-83E7-008E008700E2}">
            <xm:f>$E$26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ellIs" priority="3" operator="greaterThan" id="{0025000B-0057-454E-8889-00FA00FF008F}">
            <xm:f>$E$35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cellIs" priority="1" operator="greaterThan" id="{001D0075-0078-4175-8E47-00AB00FC0057}">
            <xm:f>$E$24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" zoomScale="100" workbookViewId="0">
      <selection activeCell="C20" activeCellId="0" sqref="C20"/>
    </sheetView>
  </sheetViews>
  <sheetFormatPr defaultRowHeight="14.25"/>
  <cols>
    <col customWidth="1" min="1" max="1" width="4.86328125"/>
    <col customWidth="1" min="2" max="2" width="28.1328125"/>
    <col customWidth="1" min="3" max="3" style="25" width="11.265625"/>
    <col customWidth="1" min="5" max="5" style="28" width="12.9296875"/>
    <col customWidth="1" min="7" max="7" width="16.53125"/>
  </cols>
  <sheetData>
    <row r="1" ht="28.5">
      <c r="A1" s="16" t="s">
        <v>4</v>
      </c>
      <c r="B1" s="17" t="s">
        <v>5</v>
      </c>
      <c r="C1" s="17"/>
      <c r="D1" s="17" t="s">
        <v>6</v>
      </c>
      <c r="E1" s="18" t="s">
        <v>7</v>
      </c>
    </row>
    <row r="2" ht="14.65"/>
    <row r="3" ht="14.65">
      <c r="A3" s="29" t="s">
        <v>8</v>
      </c>
      <c r="B3" s="30"/>
      <c r="C3" s="31" t="s">
        <v>94</v>
      </c>
    </row>
    <row r="4">
      <c r="A4" t="s">
        <v>95</v>
      </c>
      <c r="C4" s="32">
        <v>1000</v>
      </c>
      <c r="D4" t="s">
        <v>22</v>
      </c>
      <c r="E4" s="28">
        <f>C4*1.3</f>
        <v>1300</v>
      </c>
      <c r="H4" s="8"/>
    </row>
    <row r="5">
      <c r="A5" t="s">
        <v>10</v>
      </c>
      <c r="C5" s="32">
        <v>56</v>
      </c>
      <c r="D5" t="s">
        <v>11</v>
      </c>
      <c r="H5" s="8"/>
    </row>
    <row r="6">
      <c r="A6" t="s">
        <v>12</v>
      </c>
      <c r="C6" s="32">
        <v>60</v>
      </c>
      <c r="D6" t="s">
        <v>96</v>
      </c>
    </row>
    <row r="7">
      <c r="A7" t="s">
        <v>14</v>
      </c>
      <c r="C7" s="25">
        <v>90</v>
      </c>
      <c r="D7" t="s">
        <v>97</v>
      </c>
    </row>
    <row r="8">
      <c r="A8" t="s">
        <v>16</v>
      </c>
      <c r="C8" s="25">
        <f>VLOOKUP(Тип_БТ2,Параметры_БТ[],2,FALSE)/2</f>
        <v>30</v>
      </c>
      <c r="D8" t="s">
        <v>17</v>
      </c>
    </row>
    <row r="9">
      <c r="A9" t="s">
        <v>98</v>
      </c>
      <c r="C9" s="33">
        <v>8</v>
      </c>
    </row>
    <row r="10">
      <c r="A10" t="s">
        <v>18</v>
      </c>
    </row>
    <row r="11">
      <c r="E11" s="34"/>
    </row>
    <row r="12">
      <c r="A12" s="16" t="s">
        <v>20</v>
      </c>
      <c r="B12" s="16" t="s">
        <v>57</v>
      </c>
      <c r="C12" s="35">
        <f>C4/2/C9*1.1</f>
        <v>68.75</v>
      </c>
      <c r="D12" s="16" t="s">
        <v>22</v>
      </c>
      <c r="E12" s="17"/>
    </row>
    <row r="13">
      <c r="A13" s="16" t="s">
        <v>24</v>
      </c>
      <c r="B13" s="16" t="s">
        <v>25</v>
      </c>
      <c r="C13" s="36">
        <v>30</v>
      </c>
      <c r="D13" s="16" t="s">
        <v>17</v>
      </c>
      <c r="E13" s="17"/>
      <c r="H13" s="25"/>
    </row>
    <row r="14">
      <c r="A14" s="16" t="s">
        <v>27</v>
      </c>
      <c r="B14" s="16" t="s">
        <v>28</v>
      </c>
      <c r="C14" s="35">
        <f>1/VLOOKUP(Тип_БТ2,Параметры_БТ[],11,FALSE)</f>
        <v>3.3333333333333335</v>
      </c>
      <c r="D14" s="16" t="s">
        <v>29</v>
      </c>
      <c r="E14" s="17"/>
      <c r="H14" s="25"/>
    </row>
    <row r="15">
      <c r="A15" s="16"/>
      <c r="B15" s="16"/>
      <c r="C15" s="35"/>
      <c r="D15" s="16"/>
      <c r="E15" s="17"/>
      <c r="H15" s="25"/>
    </row>
    <row r="16">
      <c r="A16" s="16" t="s">
        <v>31</v>
      </c>
      <c r="B16" s="16" t="s">
        <v>32</v>
      </c>
      <c r="C16" s="35">
        <f>0.5*C14*C13*(1-SQRT(1-16*C12/(C14*C13*C13)))</f>
        <v>10.208878712288927</v>
      </c>
      <c r="D16" s="16" t="s">
        <v>33</v>
      </c>
      <c r="E16" s="17">
        <f>E17/0.316</f>
        <v>47.468354430379748</v>
      </c>
      <c r="H16" s="25"/>
    </row>
    <row r="17">
      <c r="A17" s="16" t="s">
        <v>34</v>
      </c>
      <c r="B17" s="16" t="s">
        <v>35</v>
      </c>
      <c r="C17" s="35">
        <f>C16/3.1415</f>
        <v>3.2496828624188847</v>
      </c>
      <c r="D17" s="16" t="s">
        <v>33</v>
      </c>
      <c r="E17" s="23">
        <f>VLOOKUP(Тип_БТ2,Параметры_БТ[],3,FALSE)</f>
        <v>15</v>
      </c>
      <c r="H17" s="25"/>
    </row>
    <row r="18">
      <c r="A18" s="16" t="s">
        <v>36</v>
      </c>
      <c r="B18" s="16" t="s">
        <v>37</v>
      </c>
      <c r="C18" s="35">
        <f>C16*0.5</f>
        <v>5.1044393561444634</v>
      </c>
      <c r="D18" s="16" t="s">
        <v>33</v>
      </c>
      <c r="E18" s="17">
        <f>E17/0.316*0.5</f>
        <v>23.734177215189874</v>
      </c>
      <c r="H18" s="25"/>
    </row>
    <row r="19">
      <c r="A19" s="16" t="s">
        <v>38</v>
      </c>
      <c r="B19" s="16" t="s">
        <v>39</v>
      </c>
      <c r="C19" s="35">
        <f>C16/C14</f>
        <v>3.0626636136866781</v>
      </c>
      <c r="D19" s="16" t="s">
        <v>17</v>
      </c>
      <c r="E19" s="17"/>
      <c r="H19" s="25"/>
    </row>
    <row r="20">
      <c r="A20" s="16" t="s">
        <v>40</v>
      </c>
      <c r="B20" s="16" t="s">
        <v>41</v>
      </c>
      <c r="C20" s="35">
        <f>C13-C19</f>
        <v>26.937336386313323</v>
      </c>
      <c r="D20" s="16" t="s">
        <v>17</v>
      </c>
      <c r="E20" s="17"/>
      <c r="H20" s="25"/>
    </row>
    <row r="21">
      <c r="A21" s="16" t="s">
        <v>42</v>
      </c>
      <c r="B21" s="16" t="s">
        <v>43</v>
      </c>
      <c r="C21" s="35">
        <f>C20/C18</f>
        <v>5.2772370297410882</v>
      </c>
      <c r="D21" s="16" t="s">
        <v>44</v>
      </c>
      <c r="E21" s="17"/>
      <c r="H21" s="25"/>
    </row>
    <row r="22">
      <c r="A22" s="16"/>
      <c r="B22" s="16"/>
      <c r="C22" s="35"/>
      <c r="D22" s="16"/>
      <c r="E22" s="17"/>
    </row>
    <row r="23">
      <c r="A23" s="16" t="s">
        <v>46</v>
      </c>
      <c r="B23" s="16" t="s">
        <v>43</v>
      </c>
      <c r="C23" s="36">
        <v>4.7000000000000002</v>
      </c>
      <c r="D23" s="16" t="s">
        <v>44</v>
      </c>
      <c r="E23" s="17"/>
      <c r="H23" s="25"/>
    </row>
    <row r="24">
      <c r="A24" s="16" t="s">
        <v>48</v>
      </c>
      <c r="B24" s="16" t="s">
        <v>32</v>
      </c>
      <c r="C24" s="35">
        <f>2*C14*C13/(2+C14*C23)</f>
        <v>11.320754716981131</v>
      </c>
      <c r="D24" s="16" t="s">
        <v>33</v>
      </c>
      <c r="E24" s="17">
        <f>E25/0.316</f>
        <v>47.468354430379748</v>
      </c>
      <c r="H24" s="25"/>
    </row>
    <row r="25">
      <c r="A25" s="16" t="s">
        <v>49</v>
      </c>
      <c r="B25" s="16" t="s">
        <v>35</v>
      </c>
      <c r="C25" s="35">
        <f>C24/3.1415</f>
        <v>3.6036144252685438</v>
      </c>
      <c r="D25" s="16" t="s">
        <v>33</v>
      </c>
      <c r="E25" s="23">
        <f>VLOOKUP(Тип_БТ2,Параметры_БТ[],3,FALSE)</f>
        <v>15</v>
      </c>
      <c r="H25" s="25"/>
    </row>
    <row r="26">
      <c r="A26" s="16" t="s">
        <v>50</v>
      </c>
      <c r="B26" s="16" t="s">
        <v>37</v>
      </c>
      <c r="C26" s="35">
        <f>C24*0.5</f>
        <v>5.6603773584905657</v>
      </c>
      <c r="D26" s="16" t="s">
        <v>33</v>
      </c>
      <c r="E26" s="17">
        <f>E25/0.316*0.5</f>
        <v>23.734177215189874</v>
      </c>
      <c r="H26" s="25"/>
    </row>
    <row r="27">
      <c r="A27" s="16" t="s">
        <v>51</v>
      </c>
      <c r="B27" s="16" t="s">
        <v>39</v>
      </c>
      <c r="C27" s="35">
        <f>C24/C14</f>
        <v>3.3962264150943393</v>
      </c>
      <c r="D27" s="16" t="s">
        <v>17</v>
      </c>
      <c r="E27" s="17"/>
      <c r="H27" s="25"/>
    </row>
    <row r="28">
      <c r="A28" s="16" t="s">
        <v>52</v>
      </c>
      <c r="B28" s="16" t="s">
        <v>41</v>
      </c>
      <c r="C28" s="35">
        <f>C13-C27</f>
        <v>26.60377358490566</v>
      </c>
      <c r="D28" s="16" t="s">
        <v>17</v>
      </c>
      <c r="E28" s="17"/>
      <c r="H28" s="25"/>
    </row>
    <row r="29">
      <c r="A29" s="16" t="s">
        <v>53</v>
      </c>
      <c r="B29" s="16" t="s">
        <v>54</v>
      </c>
      <c r="C29" s="35">
        <f>C28+C13</f>
        <v>56.60377358490566</v>
      </c>
      <c r="D29" s="16" t="s">
        <v>17</v>
      </c>
      <c r="E29" s="23">
        <f>VLOOKUP(Тип_БТ2,Параметры_БТ[],2,FALSE)</f>
        <v>60</v>
      </c>
      <c r="H29" s="25"/>
    </row>
    <row r="30">
      <c r="A30" s="16" t="s">
        <v>56</v>
      </c>
      <c r="B30" s="16" t="s">
        <v>57</v>
      </c>
      <c r="C30" s="35">
        <f>0.5*C28*C26</f>
        <v>75.2936988252047</v>
      </c>
      <c r="D30" s="16" t="s">
        <v>22</v>
      </c>
      <c r="E30" s="37">
        <f>C12</f>
        <v>68.75</v>
      </c>
      <c r="H30" s="25"/>
    </row>
    <row r="31">
      <c r="A31" s="16" t="s">
        <v>58</v>
      </c>
      <c r="B31" s="16" t="s">
        <v>59</v>
      </c>
      <c r="C31" s="35">
        <f>C25*C13</f>
        <v>108.10843275805631</v>
      </c>
      <c r="D31" s="16" t="s">
        <v>22</v>
      </c>
      <c r="E31" s="17"/>
      <c r="H31" s="25"/>
    </row>
    <row r="32">
      <c r="A32" s="16" t="s">
        <v>60</v>
      </c>
      <c r="B32" s="16" t="s">
        <v>21</v>
      </c>
      <c r="C32" s="35">
        <f>C31-C30</f>
        <v>32.81473393285161</v>
      </c>
      <c r="D32" s="16" t="s">
        <v>22</v>
      </c>
      <c r="E32" s="37">
        <f>(VLOOKUP(Тип_БТ2,Параметры_БТ[],13,FALSE)*0.8-C6)/VLOOKUP(Тип_БТ2,Параметры_БТ[],12,FALSE)</f>
        <v>85</v>
      </c>
      <c r="H32" s="25"/>
    </row>
    <row r="33">
      <c r="A33" s="16" t="s">
        <v>61</v>
      </c>
      <c r="B33" s="16" t="s">
        <v>62</v>
      </c>
      <c r="C33" s="35">
        <f>C30/C31*100</f>
        <v>69.646462264150955</v>
      </c>
      <c r="D33" s="16" t="s">
        <v>63</v>
      </c>
      <c r="E33" s="23">
        <v>60</v>
      </c>
      <c r="H33" s="25"/>
    </row>
    <row r="34">
      <c r="A34" s="16" t="s">
        <v>68</v>
      </c>
      <c r="B34" s="16" t="s">
        <v>99</v>
      </c>
      <c r="C34" s="35">
        <f>C30*2*C9</f>
        <v>1204.6991812032752</v>
      </c>
      <c r="D34" s="16" t="s">
        <v>22</v>
      </c>
      <c r="E34" s="23">
        <f>E4</f>
        <v>1300</v>
      </c>
      <c r="H34" s="25"/>
    </row>
    <row r="36">
      <c r="A36" t="s">
        <v>64</v>
      </c>
      <c r="C36" s="32">
        <v>25</v>
      </c>
      <c r="D36" t="s">
        <v>65</v>
      </c>
      <c r="H36" s="8"/>
    </row>
    <row r="37">
      <c r="A37" t="s">
        <v>66</v>
      </c>
      <c r="C37" s="32">
        <v>7.2999999999999998</v>
      </c>
      <c r="D37" t="s">
        <v>65</v>
      </c>
      <c r="H37" s="8"/>
    </row>
    <row r="39">
      <c r="A39" t="s">
        <v>67</v>
      </c>
    </row>
    <row r="40">
      <c r="A40" s="16" t="s">
        <v>68</v>
      </c>
      <c r="B40" s="16" t="s">
        <v>69</v>
      </c>
      <c r="C40" s="35">
        <f>1000000/(6.28*VLOOKUP(Тип_БТ2,Параметры_БТ[],4,FALSE)*VLOOKUP(Тип_БТ2,Параметры_БТ[],9,FALSE))</f>
        <v>1.9904458598726114</v>
      </c>
      <c r="D40" s="16" t="s">
        <v>44</v>
      </c>
      <c r="E40" s="17"/>
      <c r="H40" s="25"/>
    </row>
    <row r="41">
      <c r="A41" s="16" t="s">
        <v>70</v>
      </c>
      <c r="B41" s="16" t="s">
        <v>71</v>
      </c>
      <c r="C41" s="35">
        <f>2*C40</f>
        <v>3.9808917197452227</v>
      </c>
      <c r="D41" s="16" t="s">
        <v>44</v>
      </c>
      <c r="E41" s="17"/>
      <c r="H41" s="25"/>
    </row>
    <row r="42">
      <c r="A42" s="16"/>
      <c r="B42" s="16" t="s">
        <v>72</v>
      </c>
      <c r="C42" s="35">
        <f>1/(1+C23/C41)</f>
        <v>0.45858096705554324</v>
      </c>
      <c r="D42" s="16"/>
      <c r="E42" s="17"/>
      <c r="H42" s="25"/>
    </row>
    <row r="43">
      <c r="A43" s="16"/>
      <c r="B43" s="16" t="s">
        <v>73</v>
      </c>
      <c r="C43" s="35">
        <f>VLOOKUP(Тип_БТ2,Параметры_БТ[],6,FALSE)+VLOOKUP(Тип_БТ2,Параметры_БТ[],7,FALSE)+C36</f>
        <v>26.800000000000001</v>
      </c>
      <c r="D43" s="16" t="s">
        <v>65</v>
      </c>
      <c r="E43" s="17"/>
      <c r="H43" s="25"/>
    </row>
    <row r="44">
      <c r="A44" s="16"/>
      <c r="B44" s="16" t="s">
        <v>74</v>
      </c>
      <c r="C44" s="35">
        <f>VLOOKUP(Тип_БТ2,Параметры_БТ[],6,FALSE)+$C$37</f>
        <v>7.5999999999999996</v>
      </c>
      <c r="D44" s="16" t="s">
        <v>65</v>
      </c>
      <c r="E44" s="17"/>
      <c r="H44" s="25"/>
    </row>
    <row r="45">
      <c r="A45" s="16"/>
      <c r="B45" s="16" t="s">
        <v>75</v>
      </c>
      <c r="C45" s="35">
        <f>C42*6.28*VLOOKUP(Тип_БТ2,Параметры_БТ[],4,FALSE)*C44/1000</f>
        <v>8.7548609582507861</v>
      </c>
      <c r="D45" s="16" t="s">
        <v>44</v>
      </c>
      <c r="E45" s="17"/>
      <c r="H45" s="25"/>
    </row>
    <row r="46">
      <c r="A46" s="16"/>
      <c r="B46" s="16" t="s">
        <v>76</v>
      </c>
      <c r="C46" s="35">
        <f>VLOOKUP(Тип_БТ2,Параметры_БТ[],10,FALSE)+$C$45</f>
        <v>9.2548609582507861</v>
      </c>
      <c r="D46" s="16" t="s">
        <v>44</v>
      </c>
      <c r="E46" s="17"/>
      <c r="H46" s="25"/>
    </row>
    <row r="47">
      <c r="A47" s="16"/>
      <c r="B47" s="16" t="s">
        <v>77</v>
      </c>
      <c r="C47" s="38">
        <f>6.28*C5*C43/C46/1000</f>
        <v>1.0183863423250581</v>
      </c>
      <c r="D47" s="16"/>
      <c r="E47" s="39">
        <v>1</v>
      </c>
      <c r="H47" s="25"/>
    </row>
    <row r="48">
      <c r="A48" s="16"/>
      <c r="B48" s="16" t="s">
        <v>78</v>
      </c>
      <c r="C48" s="35">
        <f>$C$25/0.025*2</f>
        <v>288.28915402148351</v>
      </c>
      <c r="D48" s="16" t="s">
        <v>29</v>
      </c>
      <c r="E48" s="17"/>
      <c r="H48" s="25"/>
    </row>
    <row r="49">
      <c r="A49" s="16"/>
      <c r="B49" s="16" t="s">
        <v>79</v>
      </c>
      <c r="C49" s="35">
        <f>1000000*C48/(6.28*VLOOKUP(Тип_БТ2,Параметры_БТ[],4,FALSE))</f>
        <v>114764.7906136479</v>
      </c>
      <c r="D49" s="16" t="s">
        <v>80</v>
      </c>
      <c r="E49" s="17"/>
      <c r="H49" s="25"/>
    </row>
    <row r="50">
      <c r="A50" s="16"/>
      <c r="B50" s="16" t="s">
        <v>81</v>
      </c>
      <c r="C50" s="35">
        <f>$C$26/$C$42</f>
        <v>12.34324528301887</v>
      </c>
      <c r="D50" s="16" t="s">
        <v>33</v>
      </c>
      <c r="E50" s="17"/>
      <c r="H50" s="25"/>
    </row>
    <row r="51">
      <c r="A51" s="16"/>
      <c r="B51" s="16" t="s">
        <v>82</v>
      </c>
      <c r="C51" s="35">
        <f>C50/(0.5*C48)</f>
        <v>0.085631007000000023</v>
      </c>
      <c r="D51" s="16" t="s">
        <v>17</v>
      </c>
      <c r="E51" s="17"/>
      <c r="H51" s="25"/>
    </row>
    <row r="52">
      <c r="A52" s="16"/>
      <c r="B52" s="16" t="s">
        <v>83</v>
      </c>
      <c r="C52" s="35">
        <f>1000000000/(6.28*C5*6.28*C5*$C$43)</f>
        <v>301.69621695735759</v>
      </c>
      <c r="D52" s="16" t="s">
        <v>80</v>
      </c>
      <c r="E52" s="37"/>
      <c r="H52" s="25"/>
    </row>
    <row r="53">
      <c r="A53" s="16"/>
      <c r="B53" s="16" t="s">
        <v>84</v>
      </c>
      <c r="C53" s="35">
        <f>C49*C52/(C49-C52)</f>
        <v>302.49141306668986</v>
      </c>
      <c r="D53" s="16" t="s">
        <v>80</v>
      </c>
      <c r="E53" s="17"/>
      <c r="H53" s="25"/>
    </row>
    <row r="54">
      <c r="A54" s="16"/>
      <c r="B54" s="16" t="s">
        <v>85</v>
      </c>
      <c r="C54" s="35">
        <f>1000000*VLOOKUP(Тип_БТ2,Параметры_БТ[],5,FALSE)/(C42*6.28*VLOOKUP(Тип_БТ2,Параметры_БТ[],4,FALSE)*C53)</f>
        <v>143.48988673327</v>
      </c>
      <c r="D54" s="16" t="s">
        <v>44</v>
      </c>
      <c r="E54" s="17"/>
      <c r="H54" s="25"/>
    </row>
    <row r="55">
      <c r="A55" s="16"/>
      <c r="B55" s="16" t="s">
        <v>86</v>
      </c>
      <c r="C55" s="38">
        <f>2*C46</f>
        <v>18.509721916501572</v>
      </c>
      <c r="D55" s="16" t="s">
        <v>44</v>
      </c>
      <c r="E55" s="39" t="s">
        <v>87</v>
      </c>
      <c r="H55" s="25"/>
    </row>
    <row r="56">
      <c r="A56" s="16"/>
      <c r="B56" s="16" t="s">
        <v>88</v>
      </c>
      <c r="C56" s="35">
        <f>C55/(6.28*C5)</f>
        <v>0.052632284794419851</v>
      </c>
      <c r="D56" s="16" t="s">
        <v>89</v>
      </c>
      <c r="E56" s="17"/>
      <c r="H56" s="25"/>
    </row>
    <row r="57">
      <c r="A57" s="16"/>
      <c r="B57" s="16" t="s">
        <v>90</v>
      </c>
      <c r="C57" s="35">
        <f>1000000/(6.28*C5*C55)</f>
        <v>153.62165344025527</v>
      </c>
      <c r="D57" s="16" t="s">
        <v>80</v>
      </c>
      <c r="E57" s="17"/>
      <c r="H57" s="25"/>
    </row>
    <row r="58">
      <c r="A58" s="16"/>
      <c r="B58" s="16" t="s">
        <v>91</v>
      </c>
      <c r="C58" s="35">
        <f>C51*C49/C52</f>
        <v>32.573907248495097</v>
      </c>
      <c r="D58" s="16" t="s">
        <v>17</v>
      </c>
      <c r="E58" s="17"/>
      <c r="H58" s="25"/>
    </row>
    <row r="59">
      <c r="A59" s="16"/>
      <c r="B59" s="16" t="s">
        <v>92</v>
      </c>
      <c r="C59" s="35">
        <f>C58*C58/(2*C55)</f>
        <v>28.662219730260187</v>
      </c>
      <c r="D59" s="16" t="s">
        <v>22</v>
      </c>
      <c r="E59" s="17"/>
      <c r="H59" s="25"/>
    </row>
    <row r="60">
      <c r="A60" s="16"/>
      <c r="B60" s="16" t="s">
        <v>93</v>
      </c>
      <c r="C60" s="35">
        <f>C30/C59</f>
        <v>2.6269318822405525</v>
      </c>
      <c r="D60" s="16"/>
      <c r="E60" s="17">
        <v>1.5</v>
      </c>
      <c r="H60" s="25"/>
    </row>
  </sheetData>
  <mergeCells count="1">
    <mergeCell ref="B1:C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lessThan" id="{003D00E1-00FE-465A-BA37-006900FA0023}">
            <xm:f>1.3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ellIs" priority="16" operator="lessThan" id="{006E0057-0039-49DF-8169-0057006F0085}">
            <xm:f>1.3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5" operator="greaterThan" id="{000000AC-001A-4FA9-9A9F-000F00510038}">
            <xm:f>1.31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ellIs" priority="14" operator="greaterThan" id="{00F200A9-0093-45CF-876E-001D00570016}">
            <xm:f>1.31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3" operator="greaterThan" id="{00950024-00DE-4D10-B8DA-00FD0012008D}">
            <xm:f>$E$29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12" operator="lessThan" id="{00ED009B-00B4-48B4-B3FD-005D007B004D}">
            <xm:f>$E$33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C33:C34</xm:sqref>
        </x14:conditionalFormatting>
        <x14:conditionalFormatting xmlns:xm="http://schemas.microsoft.com/office/excel/2006/main">
          <x14:cfRule type="cellIs" priority="11" operator="greaterThan" id="{00DA00AF-001F-40C4-A977-007300AA0006}">
            <xm:f>$E$25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ellIs" priority="10" operator="lessThan" id="{00ED0037-000F-4B60-8538-006600CD0076}">
            <xm:f>$E$60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ellIs" priority="9" operator="greaterThan" id="{006000C6-00F9-4C12-999E-00D400340021}">
            <xm:f>$E$25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ellIs" priority="8" operator="greaterThan" id="{00DE0016-0028-48D8-A34B-008D00230074}">
            <xm:f>$E$18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ellIs" priority="7" operator="greaterThan" id="{001F0072-003C-4CA9-B2AA-008D008900D3}">
            <xm:f>$E$26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ellIs" priority="6" operator="greaterThan" id="{00080056-009C-45E7-979E-006500D80009}">
            <xm:f>$E$16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ellIs" priority="5" operator="greaterThan" id="{00980043-00FF-4024-96A7-0039002B00D1}">
            <xm:f>$E$24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ellIs" priority="4" operator="greaterThan" id="{00CC00D9-00D7-43F9-A76E-00C100D00023}">
            <xm:f>$E$32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3" operator="lessThan" id="{00AC0029-00D5-4CA2-B286-006300660061}">
            <xm:f>$E$30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ellIs" priority="2" operator="greaterThan" id="{00FC009C-006C-482B-B78D-0015008E00AD}">
            <xm:f>$E$32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1" operator="greaterThan" id="{00F80053-0023-42D5-BE96-00DF00D50097}">
            <xm:f>$E$34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" activeCellId="0" sqref="C3"/>
    </sheetView>
  </sheetViews>
  <sheetFormatPr defaultRowHeight="14.25"/>
  <cols>
    <col customWidth="1" min="1" max="1" width="4.86328125"/>
    <col customWidth="1" min="2" max="2" width="28.1328125"/>
    <col customWidth="1" min="3" max="3" style="40" width="9"/>
    <col customWidth="1" min="5" max="5" style="15" width="12"/>
    <col customWidth="1" min="7" max="7" width="5.33203125"/>
    <col customWidth="1" min="8" max="8" width="29.3984375"/>
    <col customWidth="1" min="9" max="9" width="9.3984375"/>
  </cols>
  <sheetData>
    <row r="1" ht="28.5">
      <c r="A1" s="16" t="s">
        <v>4</v>
      </c>
      <c r="B1" s="17" t="s">
        <v>5</v>
      </c>
      <c r="C1" s="17"/>
      <c r="D1" s="17" t="s">
        <v>6</v>
      </c>
      <c r="E1" s="18" t="s">
        <v>7</v>
      </c>
    </row>
    <row r="3">
      <c r="A3" t="s">
        <v>8</v>
      </c>
      <c r="C3" s="41" t="s">
        <v>100</v>
      </c>
    </row>
    <row r="4">
      <c r="A4" t="s">
        <v>10</v>
      </c>
      <c r="C4" s="41">
        <v>50</v>
      </c>
      <c r="D4" t="s">
        <v>11</v>
      </c>
    </row>
    <row r="5">
      <c r="A5" t="s">
        <v>12</v>
      </c>
      <c r="C5" s="41">
        <v>70</v>
      </c>
      <c r="D5" t="s">
        <v>96</v>
      </c>
    </row>
    <row r="6">
      <c r="A6" t="s">
        <v>14</v>
      </c>
      <c r="C6" s="40">
        <v>90</v>
      </c>
      <c r="D6" t="s">
        <v>97</v>
      </c>
    </row>
    <row r="7">
      <c r="A7" t="s">
        <v>16</v>
      </c>
      <c r="C7" s="42">
        <f>VLOOKUP(Тип_ПТ,Параметры_ПТ[],3,FALSE)</f>
        <v>28</v>
      </c>
      <c r="D7" t="s">
        <v>17</v>
      </c>
    </row>
    <row r="9">
      <c r="A9" t="s">
        <v>18</v>
      </c>
    </row>
    <row r="10">
      <c r="A10" s="16" t="s">
        <v>20</v>
      </c>
      <c r="B10" s="16" t="s">
        <v>21</v>
      </c>
      <c r="C10" s="42">
        <f>(VLOOKUP(Тип_ПТ,Параметры_ПТ[],10,FALSE)*0.8-C5)/VLOOKUP(Тип_ПТ,Параметры_ПТ[],9,FALSE)</f>
        <v>34.482758620689658</v>
      </c>
      <c r="D10" s="16" t="s">
        <v>22</v>
      </c>
      <c r="E10" s="23"/>
    </row>
    <row r="11">
      <c r="A11" s="16" t="s">
        <v>24</v>
      </c>
      <c r="B11" s="16" t="s">
        <v>101</v>
      </c>
      <c r="C11" s="43">
        <v>28</v>
      </c>
      <c r="D11" s="16" t="s">
        <v>17</v>
      </c>
      <c r="E11" s="23"/>
    </row>
    <row r="12">
      <c r="A12" s="16" t="s">
        <v>27</v>
      </c>
      <c r="B12" s="16" t="s">
        <v>28</v>
      </c>
      <c r="C12" s="42">
        <f>VLOOKUP(Тип_ПТ,Параметры_ПТ[],5,FALSE)</f>
        <v>2.2222222222222223</v>
      </c>
      <c r="D12" s="16" t="s">
        <v>29</v>
      </c>
      <c r="E12" s="23"/>
    </row>
    <row r="13">
      <c r="A13" s="16"/>
      <c r="B13" s="16"/>
      <c r="C13" s="42"/>
      <c r="D13" s="16"/>
      <c r="E13" s="23"/>
    </row>
    <row r="14">
      <c r="A14" s="16" t="s">
        <v>31</v>
      </c>
      <c r="B14" s="16" t="s">
        <v>32</v>
      </c>
      <c r="C14" s="42">
        <f>0.137*C12*C11*(SQRT(1+214*C10/(C12*C11*C11))-1)</f>
        <v>10.980657153226403</v>
      </c>
      <c r="D14" s="16" t="s">
        <v>33</v>
      </c>
      <c r="E14" s="23"/>
    </row>
    <row r="15">
      <c r="A15" s="16" t="s">
        <v>34</v>
      </c>
      <c r="B15" s="16" t="s">
        <v>35</v>
      </c>
      <c r="C15" s="42">
        <f>C14/3.1415</f>
        <v>3.4953548156060488</v>
      </c>
      <c r="D15" s="16" t="s">
        <v>33</v>
      </c>
      <c r="E15" s="23"/>
    </row>
    <row r="16">
      <c r="A16" s="16" t="s">
        <v>36</v>
      </c>
      <c r="B16" s="16" t="s">
        <v>37</v>
      </c>
      <c r="C16" s="42">
        <f>C14*0.5</f>
        <v>5.4903285766132015</v>
      </c>
      <c r="D16" s="16" t="s">
        <v>33</v>
      </c>
      <c r="E16" s="23"/>
    </row>
    <row r="17">
      <c r="A17" s="16" t="s">
        <v>38</v>
      </c>
      <c r="B17" s="16" t="s">
        <v>39</v>
      </c>
      <c r="C17" s="42">
        <f>C14/C12</f>
        <v>4.9412957189518814</v>
      </c>
      <c r="D17" s="16" t="s">
        <v>17</v>
      </c>
      <c r="E17" s="23"/>
    </row>
    <row r="18">
      <c r="A18" s="16" t="s">
        <v>40</v>
      </c>
      <c r="B18" s="16" t="s">
        <v>102</v>
      </c>
      <c r="C18" s="42">
        <f>C11-C17</f>
        <v>23.058704281048119</v>
      </c>
      <c r="D18" s="16" t="s">
        <v>17</v>
      </c>
      <c r="E18" s="23"/>
    </row>
    <row r="19">
      <c r="A19" s="16" t="s">
        <v>42</v>
      </c>
      <c r="B19" s="16" t="s">
        <v>103</v>
      </c>
      <c r="C19" s="42">
        <f>C18/C16</f>
        <v>4.1998769216235603</v>
      </c>
      <c r="D19" s="16" t="s">
        <v>44</v>
      </c>
      <c r="E19" s="23"/>
    </row>
    <row r="20">
      <c r="A20" s="16"/>
      <c r="B20" s="16"/>
      <c r="C20" s="42"/>
      <c r="D20" s="16"/>
      <c r="E20" s="23"/>
    </row>
    <row r="21">
      <c r="A21" s="16" t="s">
        <v>46</v>
      </c>
      <c r="B21" s="16" t="s">
        <v>43</v>
      </c>
      <c r="C21" s="43">
        <v>4.7000000000000002</v>
      </c>
      <c r="D21" s="16" t="s">
        <v>44</v>
      </c>
      <c r="E21" s="23">
        <f>1000000/(2*3.14*C4*VLOOKUP(Тип_ПТ,Параметры_ПТ[],7,FALSE))</f>
        <v>35.385704175513091</v>
      </c>
    </row>
    <row r="22">
      <c r="A22" s="16" t="s">
        <v>48</v>
      </c>
      <c r="B22" s="16" t="s">
        <v>32</v>
      </c>
      <c r="C22" s="42">
        <f>2*C12*C11/(2+C12*C21)</f>
        <v>10</v>
      </c>
      <c r="D22" s="16" t="s">
        <v>33</v>
      </c>
      <c r="E22" s="23"/>
    </row>
    <row r="23">
      <c r="A23" s="16" t="s">
        <v>49</v>
      </c>
      <c r="B23" s="16" t="s">
        <v>35</v>
      </c>
      <c r="C23" s="42">
        <f>C22/3.1415</f>
        <v>3.1831927423205473</v>
      </c>
      <c r="D23" s="16" t="s">
        <v>33</v>
      </c>
      <c r="E23" s="23"/>
    </row>
    <row r="24">
      <c r="A24" s="16" t="s">
        <v>50</v>
      </c>
      <c r="B24" s="16" t="s">
        <v>37</v>
      </c>
      <c r="C24" s="42">
        <f>C22*0.5</f>
        <v>5</v>
      </c>
      <c r="D24" s="16" t="s">
        <v>33</v>
      </c>
      <c r="E24" s="23"/>
    </row>
    <row r="25">
      <c r="A25" s="16" t="s">
        <v>51</v>
      </c>
      <c r="B25" s="16" t="s">
        <v>39</v>
      </c>
      <c r="C25" s="42">
        <f>C22/C12</f>
        <v>4.5</v>
      </c>
      <c r="D25" s="16" t="s">
        <v>17</v>
      </c>
      <c r="E25" s="23"/>
    </row>
    <row r="26">
      <c r="A26" s="16" t="s">
        <v>52</v>
      </c>
      <c r="B26" s="16" t="s">
        <v>41</v>
      </c>
      <c r="C26" s="42">
        <f>C11-C25</f>
        <v>23.5</v>
      </c>
      <c r="D26" s="16" t="s">
        <v>17</v>
      </c>
      <c r="E26" s="23"/>
    </row>
    <row r="27">
      <c r="A27" s="16" t="s">
        <v>53</v>
      </c>
      <c r="B27" s="16" t="s">
        <v>104</v>
      </c>
      <c r="C27" s="42">
        <f>C26+C11</f>
        <v>51.5</v>
      </c>
      <c r="D27" s="16" t="s">
        <v>17</v>
      </c>
      <c r="E27" s="23">
        <f>VLOOKUP(Тип_ПТ,Параметры_ПТ[],2,FALSE)</f>
        <v>65</v>
      </c>
    </row>
    <row r="28">
      <c r="A28" s="16" t="s">
        <v>56</v>
      </c>
      <c r="B28" s="16" t="s">
        <v>57</v>
      </c>
      <c r="C28" s="42">
        <f>0.5*C26*C24</f>
        <v>58.75</v>
      </c>
      <c r="D28" s="16" t="s">
        <v>22</v>
      </c>
      <c r="E28" s="23"/>
    </row>
    <row r="29">
      <c r="A29" s="16" t="s">
        <v>58</v>
      </c>
      <c r="B29" s="16" t="s">
        <v>59</v>
      </c>
      <c r="C29" s="42">
        <f>C23*C11</f>
        <v>89.129396784975327</v>
      </c>
      <c r="D29" s="16" t="s">
        <v>22</v>
      </c>
      <c r="E29" s="23"/>
    </row>
    <row r="30">
      <c r="A30" s="16" t="s">
        <v>60</v>
      </c>
      <c r="B30" s="16" t="s">
        <v>21</v>
      </c>
      <c r="C30" s="42">
        <f>C29-C28</f>
        <v>30.379396784975327</v>
      </c>
      <c r="D30" s="16" t="s">
        <v>22</v>
      </c>
      <c r="E30" s="23">
        <f>C10</f>
        <v>34.482758620689658</v>
      </c>
    </row>
    <row r="31">
      <c r="A31" s="16" t="s">
        <v>61</v>
      </c>
      <c r="B31" s="16" t="s">
        <v>62</v>
      </c>
      <c r="C31" s="42">
        <f>C28/C29*100</f>
        <v>65.915401785714295</v>
      </c>
      <c r="D31" s="16" t="s">
        <v>63</v>
      </c>
      <c r="E31" s="23">
        <v>60</v>
      </c>
    </row>
    <row r="33">
      <c r="A33" t="s">
        <v>67</v>
      </c>
    </row>
    <row r="34">
      <c r="B34" t="s">
        <v>105</v>
      </c>
      <c r="C34" s="41">
        <v>3.2999999999999998</v>
      </c>
      <c r="D34" t="s">
        <v>65</v>
      </c>
    </row>
    <row r="35">
      <c r="A35" s="16" t="s">
        <v>68</v>
      </c>
      <c r="B35" s="16" t="s">
        <v>69</v>
      </c>
      <c r="C35" s="42">
        <f>VLOOKUP(Тип_ПТ,Параметры_ПТ[],6,FALSE)/(VLOOKUP(Тип_ПТ,Параметры_ПТ[],4,FALSE)*VLOOKUP(Тип_ПТ,Параметры_ПТ[],8,FALSE))</f>
        <v>3.5</v>
      </c>
      <c r="D35" s="16" t="s">
        <v>44</v>
      </c>
      <c r="E35" s="23"/>
    </row>
    <row r="36">
      <c r="A36" s="16" t="s">
        <v>70</v>
      </c>
      <c r="B36" s="16" t="s">
        <v>71</v>
      </c>
      <c r="C36" s="42">
        <f>2*C35</f>
        <v>7</v>
      </c>
      <c r="D36" s="16" t="s">
        <v>44</v>
      </c>
      <c r="E36" s="23"/>
    </row>
    <row r="37">
      <c r="A37" s="16"/>
      <c r="B37" s="16" t="s">
        <v>72</v>
      </c>
      <c r="C37" s="42">
        <f>1/(1+C21/C36)</f>
        <v>0.59829059829059827</v>
      </c>
      <c r="D37" s="16"/>
      <c r="E37" s="23"/>
    </row>
    <row r="38">
      <c r="A38" s="16"/>
      <c r="B38" s="16" t="s">
        <v>91</v>
      </c>
      <c r="C38" s="42">
        <f>C24/(C37*0.5*VLOOKUP(Тип_ПТ,Параметры_ПТ[],4,FALSE))</f>
        <v>8.3571428571428577</v>
      </c>
      <c r="D38" s="16" t="s">
        <v>17</v>
      </c>
      <c r="E38" s="23"/>
    </row>
    <row r="39">
      <c r="A39" s="16"/>
      <c r="B39" s="16" t="s">
        <v>106</v>
      </c>
      <c r="C39" s="42">
        <f>C26/C38</f>
        <v>2.8119658119658117</v>
      </c>
      <c r="D39" s="16"/>
      <c r="E39" s="23"/>
    </row>
    <row r="40">
      <c r="A40" s="16"/>
      <c r="B40" s="16" t="s">
        <v>76</v>
      </c>
      <c r="C40" s="42">
        <f>1000*C37*VLOOKUP(Тип_ПТ,Параметры_ПТ[],4,FALSE)*C34/VLOOKUP(Тип_ПТ,Параметры_ПТ[],6,FALSE)</f>
        <v>37.606837606837601</v>
      </c>
      <c r="D40" s="16" t="s">
        <v>44</v>
      </c>
      <c r="E40" s="23"/>
    </row>
    <row r="41">
      <c r="A41" s="16"/>
      <c r="B41" s="16" t="s">
        <v>83</v>
      </c>
      <c r="C41" s="42">
        <f>VLOOKUP(Тип_ПТ,Параметры_ПТ[],6,FALSE)+VLOOKUP(Тип_ПТ,Параметры_ПТ[],8,FALSE)*(1+C39)</f>
        <v>162.17948717948718</v>
      </c>
      <c r="D41" s="16" t="s">
        <v>80</v>
      </c>
      <c r="E41" s="23"/>
    </row>
    <row r="42">
      <c r="A42" s="16"/>
      <c r="B42" s="16" t="s">
        <v>107</v>
      </c>
      <c r="C42" s="43">
        <v>162</v>
      </c>
      <c r="D42" s="16" t="s">
        <v>80</v>
      </c>
      <c r="E42" s="23"/>
    </row>
    <row r="43">
      <c r="A43" s="16"/>
      <c r="B43" s="16" t="s">
        <v>108</v>
      </c>
      <c r="C43" s="42">
        <f>1000000/(C42*C40)</f>
        <v>164.14141414141417</v>
      </c>
      <c r="D43" s="16" t="s">
        <v>109</v>
      </c>
      <c r="E43" s="23"/>
    </row>
    <row r="44">
      <c r="A44" s="16"/>
      <c r="B44" s="16" t="s">
        <v>110</v>
      </c>
      <c r="C44" s="42">
        <f>6.28*C4</f>
        <v>314</v>
      </c>
      <c r="D44" s="16" t="s">
        <v>109</v>
      </c>
      <c r="E44" s="23"/>
      <c r="F44" s="8"/>
    </row>
    <row r="45">
      <c r="A45" s="16"/>
      <c r="B45" s="16" t="s">
        <v>111</v>
      </c>
      <c r="C45" s="42">
        <f>VLOOKUP(Тип_ПТ,Параметры_ПТ[],7,FALSE)+VLOOKUP(Тип_ПТ,Параметры_ПТ[],8,FALSE)</f>
        <v>105</v>
      </c>
      <c r="D45" s="16" t="s">
        <v>80</v>
      </c>
      <c r="E45" s="23"/>
      <c r="F45" s="8"/>
    </row>
    <row r="46" ht="14.65">
      <c r="F46" s="8"/>
    </row>
    <row r="47">
      <c r="A47" s="1" t="s">
        <v>112</v>
      </c>
      <c r="B47" s="2"/>
      <c r="C47" s="44" t="s">
        <v>113</v>
      </c>
      <c r="D47" s="2"/>
      <c r="E47" s="45"/>
      <c r="F47" s="46"/>
    </row>
    <row r="48">
      <c r="A48" s="7"/>
      <c r="B48" s="8" t="s">
        <v>114</v>
      </c>
      <c r="C48" s="40">
        <v>0.41599999999999998</v>
      </c>
      <c r="D48" s="8"/>
      <c r="E48" s="47"/>
      <c r="F48" s="48"/>
    </row>
    <row r="49">
      <c r="A49" s="7"/>
      <c r="B49" s="8" t="s">
        <v>115</v>
      </c>
      <c r="C49" s="40">
        <v>0.70999999999999996</v>
      </c>
      <c r="D49" s="8"/>
      <c r="E49" s="47"/>
      <c r="F49" s="48"/>
    </row>
    <row r="50">
      <c r="A50" s="7"/>
      <c r="B50" s="8"/>
      <c r="C50" s="40"/>
      <c r="D50" s="8"/>
      <c r="E50" s="47"/>
      <c r="F50" s="48"/>
    </row>
    <row r="51">
      <c r="A51" s="7"/>
      <c r="B51" s="8" t="s">
        <v>86</v>
      </c>
      <c r="C51" s="49">
        <f>1000000*2*C49/(C4*C42)</f>
        <v>175.30864197530863</v>
      </c>
      <c r="D51" s="8" t="s">
        <v>44</v>
      </c>
      <c r="E51" s="47"/>
      <c r="F51" s="48"/>
    </row>
    <row r="52">
      <c r="A52" s="7" t="s">
        <v>116</v>
      </c>
      <c r="B52" s="8"/>
      <c r="C52" s="49"/>
      <c r="D52" s="8"/>
      <c r="E52" s="47"/>
      <c r="F52" s="48"/>
    </row>
    <row r="53">
      <c r="A53" s="7"/>
      <c r="B53" s="8" t="s">
        <v>86</v>
      </c>
      <c r="C53" s="50">
        <v>75</v>
      </c>
      <c r="D53" s="8" t="s">
        <v>44</v>
      </c>
      <c r="E53" s="47"/>
      <c r="F53" s="48"/>
    </row>
    <row r="54">
      <c r="A54" s="7"/>
      <c r="B54" s="8" t="s">
        <v>110</v>
      </c>
      <c r="C54" s="49">
        <f>1000000*2*C49/(C53*C42)</f>
        <v>116.8724279835391</v>
      </c>
      <c r="D54" s="8" t="s">
        <v>109</v>
      </c>
      <c r="E54" s="47"/>
      <c r="F54" s="48"/>
    </row>
    <row r="55">
      <c r="A55" s="7"/>
      <c r="B55" s="8" t="s">
        <v>117</v>
      </c>
      <c r="C55" s="40">
        <f>C42*C48/(4*C49)</f>
        <v>23.729577464788733</v>
      </c>
      <c r="D55" s="8" t="s">
        <v>80</v>
      </c>
      <c r="E55" s="47"/>
      <c r="F55" s="48"/>
    </row>
    <row r="56">
      <c r="A56" s="7"/>
      <c r="B56" s="8" t="s">
        <v>118</v>
      </c>
      <c r="C56" s="40">
        <f>1000000000*2*C49*C49/(C54*C54*C42)</f>
        <v>455.625</v>
      </c>
      <c r="D56" s="8" t="s">
        <v>65</v>
      </c>
      <c r="E56" s="47"/>
      <c r="F56" s="48"/>
    </row>
    <row r="57">
      <c r="A57" s="7"/>
      <c r="B57" s="8" t="s">
        <v>119</v>
      </c>
      <c r="C57" s="40">
        <f>C56*(1-C48/C49)/2+C34</f>
        <v>97.633626760563374</v>
      </c>
      <c r="D57" s="8" t="s">
        <v>65</v>
      </c>
      <c r="E57" s="47"/>
      <c r="F57" s="48"/>
    </row>
    <row r="58">
      <c r="A58" s="7"/>
      <c r="B58" s="8" t="s">
        <v>92</v>
      </c>
      <c r="C58" s="40">
        <f>C38*C38/(2*C53)</f>
        <v>0.46561224489795922</v>
      </c>
      <c r="D58" s="8" t="s">
        <v>22</v>
      </c>
      <c r="E58" s="47"/>
      <c r="F58" s="48"/>
    </row>
    <row r="59" ht="14.65">
      <c r="A59" s="11"/>
      <c r="B59" s="12" t="s">
        <v>93</v>
      </c>
      <c r="C59" s="51">
        <f>C28/C58</f>
        <v>126.17795310103001</v>
      </c>
      <c r="D59" s="12"/>
      <c r="E59" s="52">
        <v>30</v>
      </c>
      <c r="F59" s="53"/>
    </row>
    <row r="60" ht="14.65"/>
    <row r="61">
      <c r="A61" s="1" t="s">
        <v>120</v>
      </c>
      <c r="B61" s="2"/>
      <c r="C61" s="44" t="s">
        <v>121</v>
      </c>
      <c r="D61" s="2"/>
      <c r="E61" s="45"/>
      <c r="F61" s="54"/>
    </row>
    <row r="62">
      <c r="A62" s="7" t="s">
        <v>64</v>
      </c>
      <c r="B62" s="8"/>
      <c r="C62" s="19">
        <v>100</v>
      </c>
      <c r="D62" s="8" t="s">
        <v>65</v>
      </c>
      <c r="E62" s="47"/>
      <c r="F62" s="55"/>
    </row>
    <row r="63">
      <c r="A63" s="7"/>
      <c r="B63" s="8"/>
      <c r="C63" s="14"/>
      <c r="D63" s="8"/>
      <c r="E63" s="47"/>
      <c r="F63" s="55"/>
    </row>
    <row r="64">
      <c r="A64" s="7" t="s">
        <v>67</v>
      </c>
      <c r="B64" s="8"/>
      <c r="C64" s="14"/>
      <c r="D64" s="8"/>
      <c r="E64" s="47"/>
      <c r="F64" s="55"/>
    </row>
    <row r="65">
      <c r="A65" s="7"/>
      <c r="B65" s="8" t="s">
        <v>73</v>
      </c>
      <c r="C65" s="14">
        <f>15+C62</f>
        <v>115</v>
      </c>
      <c r="D65" s="8" t="s">
        <v>65</v>
      </c>
      <c r="E65" s="47"/>
      <c r="F65" s="55"/>
    </row>
    <row r="66">
      <c r="A66" s="7"/>
      <c r="B66" s="8" t="s">
        <v>77</v>
      </c>
      <c r="C66" s="56">
        <f>6.28*C4*C65/C40/1000</f>
        <v>0.96019772727272745</v>
      </c>
      <c r="D66" s="8"/>
      <c r="E66" s="57">
        <v>1</v>
      </c>
      <c r="F66" s="55"/>
    </row>
    <row r="67">
      <c r="A67" s="7"/>
      <c r="B67" s="8" t="s">
        <v>83</v>
      </c>
      <c r="C67" s="14">
        <f>1000000000/(6.28*C4*6.28*C4*C65)</f>
        <v>88.194776399783393</v>
      </c>
      <c r="D67" s="8"/>
      <c r="E67" s="47"/>
      <c r="F67" s="55"/>
    </row>
    <row r="68">
      <c r="A68" s="7"/>
      <c r="B68" s="8" t="s">
        <v>84</v>
      </c>
      <c r="C68" s="14">
        <f>C42*C67/(C42-C67)</f>
        <v>193.58458764594783</v>
      </c>
      <c r="D68" s="8" t="s">
        <v>80</v>
      </c>
      <c r="E68" s="47"/>
      <c r="F68" s="55"/>
    </row>
    <row r="69">
      <c r="A69" s="7"/>
      <c r="B69" s="8" t="s">
        <v>85</v>
      </c>
      <c r="C69" s="14">
        <f>1000000/(C37*C43*C68)</f>
        <v>52.601590171428562</v>
      </c>
      <c r="D69" s="8" t="s">
        <v>44</v>
      </c>
      <c r="E69" s="47"/>
      <c r="F69" s="55"/>
    </row>
    <row r="70">
      <c r="A70" s="7"/>
      <c r="B70" s="8" t="s">
        <v>86</v>
      </c>
      <c r="C70" s="56">
        <f>2*C40</f>
        <v>75.213675213675202</v>
      </c>
      <c r="D70" s="8" t="s">
        <v>44</v>
      </c>
      <c r="E70" s="57" t="s">
        <v>87</v>
      </c>
      <c r="F70" s="55"/>
    </row>
    <row r="71">
      <c r="A71" s="7"/>
      <c r="B71" s="8" t="s">
        <v>88</v>
      </c>
      <c r="C71" s="14">
        <f>C70/(6.28*C4)</f>
        <v>0.23953399749578089</v>
      </c>
      <c r="D71" s="8" t="s">
        <v>89</v>
      </c>
      <c r="E71" s="47"/>
      <c r="F71" s="55"/>
    </row>
    <row r="72">
      <c r="A72" s="7"/>
      <c r="B72" s="8" t="s">
        <v>90</v>
      </c>
      <c r="C72" s="14">
        <f>1000000/(6.28*C4*C70)</f>
        <v>42.342211928199198</v>
      </c>
      <c r="D72" s="8" t="s">
        <v>80</v>
      </c>
      <c r="E72" s="47"/>
      <c r="F72" s="55"/>
    </row>
    <row r="73">
      <c r="A73" s="7"/>
      <c r="B73" s="8" t="s">
        <v>91</v>
      </c>
      <c r="C73" s="14">
        <f>C38*C42/C67</f>
        <v>15.350763368571428</v>
      </c>
      <c r="D73" s="8" t="s">
        <v>17</v>
      </c>
      <c r="E73" s="47"/>
      <c r="F73" s="55"/>
    </row>
    <row r="74">
      <c r="A74" s="7"/>
      <c r="B74" s="8" t="s">
        <v>92</v>
      </c>
      <c r="C74" s="14">
        <f>C73*C73/(2*C70)</f>
        <v>1.5665099154404154</v>
      </c>
      <c r="D74" s="8" t="s">
        <v>22</v>
      </c>
      <c r="E74" s="47"/>
      <c r="F74" s="55"/>
    </row>
    <row r="75" ht="14.65">
      <c r="A75" s="11"/>
      <c r="B75" s="12" t="s">
        <v>93</v>
      </c>
      <c r="C75" s="58">
        <f>C28/C74</f>
        <v>37.50375239947509</v>
      </c>
      <c r="D75" s="12"/>
      <c r="E75" s="52">
        <v>30</v>
      </c>
      <c r="F75" s="59"/>
    </row>
  </sheetData>
  <mergeCells count="1">
    <mergeCell ref="B1:C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greaterThan" id="{004D00B8-00CC-45EC-A159-00F3001500F3}">
            <xm:f>$E$27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cellIs" priority="10" operator="greaterThan" id="{009F0080-0081-45F1-84EE-0057001C0032}">
            <xm:f>$E$30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ellIs" priority="9" operator="lessThan" id="{00990036-00D0-4202-BFBD-00330096000F}">
            <xm:f>$E$31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ellIs" priority="8" operator="greaterThan" id="{002C0072-00A7-4139-9DDA-0054001600A5}">
            <xm:f>$E$21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ellIs" priority="7" operator="greaterThan" id="{006300F6-00D1-4531-A692-0019006500BC}">
            <xm:f>$C$43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ellIs" priority="6" operator="lessThan" id="{00DE007E-00B8-46CF-8C1C-0038004E00ED}">
            <xm:f>$E$59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ellIs" priority="4" operator="lessThan" id="{002700E9-004F-4081-91CB-001900B1004E}">
            <xm:f>1.3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ellIs" priority="3" operator="greaterThan" id="{00A100CB-0014-4EE5-82F6-00A1003D0065}">
            <xm:f>1.31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ellIs" priority="2" operator="lessThan" id="{00A3000E-0041-46B5-A92F-004A00E40079}">
            <xm:f>$E$60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cellIs" priority="1" operator="lessThan" id="{004D003C-0000-4CFF-8293-00820046008F}">
            <xm:f>$E$75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77" activeCellId="0" sqref="H77"/>
    </sheetView>
  </sheetViews>
  <sheetFormatPr defaultRowHeight="14.25"/>
  <cols>
    <col customWidth="1" min="1" max="1" width="4.86328125"/>
    <col customWidth="1" min="2" max="2" width="28.1328125"/>
    <col customWidth="1" min="3" max="3" style="40" width="9"/>
    <col customWidth="1" min="5" max="5" style="15" width="12"/>
    <col customWidth="1" min="7" max="7" width="5.33203125"/>
    <col customWidth="1" min="8" max="8" width="29.3984375"/>
    <col customWidth="1" min="9" max="9" width="9.3984375"/>
  </cols>
  <sheetData>
    <row r="1" ht="28.5">
      <c r="A1" s="16" t="s">
        <v>4</v>
      </c>
      <c r="B1" s="17" t="s">
        <v>5</v>
      </c>
      <c r="C1" s="17"/>
      <c r="D1" s="17" t="s">
        <v>6</v>
      </c>
      <c r="E1" s="18" t="s">
        <v>7</v>
      </c>
    </row>
    <row r="3">
      <c r="A3" t="s">
        <v>8</v>
      </c>
      <c r="C3" s="41" t="s">
        <v>100</v>
      </c>
    </row>
    <row r="4">
      <c r="A4" t="s">
        <v>95</v>
      </c>
      <c r="C4" s="41">
        <v>444</v>
      </c>
      <c r="D4" t="s">
        <v>22</v>
      </c>
      <c r="E4" s="28">
        <f>C4*1.3</f>
        <v>577.20000000000005</v>
      </c>
    </row>
    <row r="5">
      <c r="A5" t="s">
        <v>10</v>
      </c>
      <c r="C5" s="41">
        <v>50</v>
      </c>
      <c r="D5" t="s">
        <v>11</v>
      </c>
    </row>
    <row r="6">
      <c r="A6" t="s">
        <v>12</v>
      </c>
      <c r="C6" s="41">
        <v>50</v>
      </c>
      <c r="D6" t="s">
        <v>96</v>
      </c>
    </row>
    <row r="7">
      <c r="A7" t="s">
        <v>14</v>
      </c>
      <c r="C7" s="40">
        <v>90</v>
      </c>
      <c r="D7" t="s">
        <v>97</v>
      </c>
    </row>
    <row r="8">
      <c r="A8" t="s">
        <v>16</v>
      </c>
      <c r="C8" s="42">
        <f>VLOOKUP(Тип_ПТ2,Параметры_ПТ[],3,FALSE)</f>
        <v>28</v>
      </c>
      <c r="D8" t="s">
        <v>17</v>
      </c>
    </row>
    <row r="9">
      <c r="A9" t="s">
        <v>98</v>
      </c>
      <c r="C9" s="33">
        <v>4</v>
      </c>
    </row>
    <row r="11">
      <c r="A11" t="s">
        <v>18</v>
      </c>
    </row>
    <row r="12">
      <c r="A12" s="16" t="s">
        <v>20</v>
      </c>
      <c r="B12" s="16" t="s">
        <v>57</v>
      </c>
      <c r="C12" s="35">
        <f>C4/2/C9*1.1</f>
        <v>61.050000000000004</v>
      </c>
      <c r="D12" s="16" t="s">
        <v>22</v>
      </c>
      <c r="E12" s="23"/>
    </row>
    <row r="13">
      <c r="A13" s="16" t="s">
        <v>24</v>
      </c>
      <c r="B13" s="16" t="s">
        <v>101</v>
      </c>
      <c r="C13" s="43">
        <v>27</v>
      </c>
      <c r="D13" s="16" t="s">
        <v>17</v>
      </c>
      <c r="E13" s="23"/>
    </row>
    <row r="14">
      <c r="A14" s="16" t="s">
        <v>27</v>
      </c>
      <c r="B14" s="16" t="s">
        <v>28</v>
      </c>
      <c r="C14" s="42">
        <f>VLOOKUP(Тип_ПТ2,Параметры_ПТ[],5,FALSE)</f>
        <v>2.2222222222222223</v>
      </c>
      <c r="D14" s="16" t="s">
        <v>29</v>
      </c>
      <c r="E14" s="23"/>
    </row>
    <row r="15">
      <c r="A15" s="16"/>
      <c r="B15" s="16"/>
      <c r="C15" s="42"/>
      <c r="D15" s="16"/>
      <c r="E15" s="23"/>
    </row>
    <row r="16">
      <c r="A16" s="16" t="s">
        <v>31</v>
      </c>
      <c r="B16" s="16" t="s">
        <v>32</v>
      </c>
      <c r="C16" s="42">
        <f>0.5*C14*C13*(1-SQRT(1-16*C12/(C14*C13*C13)))</f>
        <v>11.096737494989569</v>
      </c>
      <c r="D16" s="16" t="s">
        <v>33</v>
      </c>
      <c r="E16" s="23"/>
    </row>
    <row r="17">
      <c r="A17" s="16" t="s">
        <v>34</v>
      </c>
      <c r="B17" s="16" t="s">
        <v>35</v>
      </c>
      <c r="C17" s="42">
        <f>C16/3.1415</f>
        <v>3.5323054257487088</v>
      </c>
      <c r="D17" s="16" t="s">
        <v>33</v>
      </c>
      <c r="E17" s="23"/>
    </row>
    <row r="18">
      <c r="A18" s="16" t="s">
        <v>36</v>
      </c>
      <c r="B18" s="16" t="s">
        <v>37</v>
      </c>
      <c r="C18" s="42">
        <f>C16*0.5</f>
        <v>5.5483687474947843</v>
      </c>
      <c r="D18" s="16" t="s">
        <v>33</v>
      </c>
      <c r="E18" s="23"/>
    </row>
    <row r="19">
      <c r="A19" s="16" t="s">
        <v>38</v>
      </c>
      <c r="B19" s="16" t="s">
        <v>39</v>
      </c>
      <c r="C19" s="42">
        <f>C16/C14</f>
        <v>4.9935318727453053</v>
      </c>
      <c r="D19" s="16" t="s">
        <v>17</v>
      </c>
      <c r="E19" s="23"/>
    </row>
    <row r="20">
      <c r="A20" s="16" t="s">
        <v>40</v>
      </c>
      <c r="B20" s="16" t="s">
        <v>102</v>
      </c>
      <c r="C20" s="42">
        <f>C13-C19</f>
        <v>22.006468127254696</v>
      </c>
      <c r="D20" s="16" t="s">
        <v>17</v>
      </c>
      <c r="E20" s="23"/>
    </row>
    <row r="21">
      <c r="A21" s="16" t="s">
        <v>42</v>
      </c>
      <c r="B21" s="16" t="s">
        <v>103</v>
      </c>
      <c r="C21" s="42">
        <f>C20/C18</f>
        <v>3.9662951632749932</v>
      </c>
      <c r="D21" s="16" t="s">
        <v>44</v>
      </c>
      <c r="E21" s="23"/>
    </row>
    <row r="22">
      <c r="A22" s="16"/>
      <c r="B22" s="16"/>
      <c r="C22" s="42"/>
      <c r="D22" s="16"/>
      <c r="E22" s="23"/>
    </row>
    <row r="23">
      <c r="A23" s="16" t="s">
        <v>46</v>
      </c>
      <c r="B23" s="16" t="s">
        <v>43</v>
      </c>
      <c r="C23" s="43">
        <v>3.2000000000000002</v>
      </c>
      <c r="D23" s="16" t="s">
        <v>44</v>
      </c>
      <c r="E23" s="23">
        <f>1000000/(2*3.14*C5*VLOOKUP(Тип_ПТ,Параметры_ПТ[],7,FALSE))</f>
        <v>35.385704175513091</v>
      </c>
    </row>
    <row r="24">
      <c r="A24" s="16" t="s">
        <v>48</v>
      </c>
      <c r="B24" s="16" t="s">
        <v>32</v>
      </c>
      <c r="C24" s="42">
        <f>2*C14*C13/(2+C14*C23)</f>
        <v>13.170731707317074</v>
      </c>
      <c r="D24" s="16" t="s">
        <v>33</v>
      </c>
      <c r="E24" s="23"/>
    </row>
    <row r="25">
      <c r="A25" s="16" t="s">
        <v>49</v>
      </c>
      <c r="B25" s="16" t="s">
        <v>35</v>
      </c>
      <c r="C25" s="42">
        <f>C24/3.1415</f>
        <v>4.1924977581782823</v>
      </c>
      <c r="D25" s="16" t="s">
        <v>33</v>
      </c>
      <c r="E25" s="23"/>
    </row>
    <row r="26">
      <c r="A26" s="16" t="s">
        <v>50</v>
      </c>
      <c r="B26" s="16" t="s">
        <v>37</v>
      </c>
      <c r="C26" s="42">
        <f>C24*0.5</f>
        <v>6.5853658536585371</v>
      </c>
      <c r="D26" s="16" t="s">
        <v>33</v>
      </c>
      <c r="E26" s="23"/>
    </row>
    <row r="27">
      <c r="A27" s="16" t="s">
        <v>51</v>
      </c>
      <c r="B27" s="16" t="s">
        <v>39</v>
      </c>
      <c r="C27" s="42">
        <f>C24/C14</f>
        <v>5.9268292682926829</v>
      </c>
      <c r="D27" s="16" t="s">
        <v>17</v>
      </c>
      <c r="E27" s="23"/>
    </row>
    <row r="28">
      <c r="A28" s="16" t="s">
        <v>52</v>
      </c>
      <c r="B28" s="16" t="s">
        <v>41</v>
      </c>
      <c r="C28" s="42">
        <f>C13-C27</f>
        <v>21.073170731707318</v>
      </c>
      <c r="D28" s="16" t="s">
        <v>17</v>
      </c>
      <c r="E28" s="23"/>
    </row>
    <row r="29">
      <c r="A29" s="16" t="s">
        <v>53</v>
      </c>
      <c r="B29" s="16" t="s">
        <v>104</v>
      </c>
      <c r="C29" s="42">
        <f>C28+C13</f>
        <v>48.073170731707322</v>
      </c>
      <c r="D29" s="16" t="s">
        <v>17</v>
      </c>
      <c r="E29" s="23">
        <f>VLOOKUP(Тип_ПТ,Параметры_ПТ[],2,FALSE)</f>
        <v>65</v>
      </c>
    </row>
    <row r="30">
      <c r="A30" s="16" t="s">
        <v>56</v>
      </c>
      <c r="B30" s="16" t="s">
        <v>57</v>
      </c>
      <c r="C30" s="42">
        <f>0.5*C28*C26</f>
        <v>69.387269482450932</v>
      </c>
      <c r="D30" s="16" t="s">
        <v>22</v>
      </c>
      <c r="E30" s="37">
        <f>C12</f>
        <v>61.050000000000004</v>
      </c>
    </row>
    <row r="31">
      <c r="A31" s="16" t="s">
        <v>58</v>
      </c>
      <c r="B31" s="16" t="s">
        <v>59</v>
      </c>
      <c r="C31" s="42">
        <f>C25*C13</f>
        <v>113.19743947081362</v>
      </c>
      <c r="D31" s="16" t="s">
        <v>22</v>
      </c>
      <c r="E31" s="23"/>
    </row>
    <row r="32">
      <c r="A32" s="16" t="s">
        <v>60</v>
      </c>
      <c r="B32" s="16" t="s">
        <v>21</v>
      </c>
      <c r="C32" s="42">
        <f>C31-C30</f>
        <v>43.810169988362688</v>
      </c>
      <c r="D32" s="16" t="s">
        <v>22</v>
      </c>
      <c r="E32" s="37">
        <f>(VLOOKUP(Тип_ПТ,Параметры_ПТ[],10,FALSE)*0.8-C6)/VLOOKUP(Тип_ПТ,Параметры_ПТ[],9,FALSE)</f>
        <v>48.275862068965516</v>
      </c>
    </row>
    <row r="33">
      <c r="A33" s="16" t="s">
        <v>61</v>
      </c>
      <c r="B33" s="16" t="s">
        <v>62</v>
      </c>
      <c r="C33" s="42">
        <f>C30/C31*100</f>
        <v>61.29756097560977</v>
      </c>
      <c r="D33" s="16" t="s">
        <v>63</v>
      </c>
      <c r="E33" s="23">
        <v>60</v>
      </c>
    </row>
    <row r="34">
      <c r="A34" s="16" t="s">
        <v>68</v>
      </c>
      <c r="B34" s="16" t="s">
        <v>99</v>
      </c>
      <c r="C34" s="35">
        <f>C30*2*C9</f>
        <v>555.09815585960746</v>
      </c>
      <c r="D34" s="16" t="s">
        <v>22</v>
      </c>
      <c r="E34" s="23">
        <f>E4</f>
        <v>577.20000000000005</v>
      </c>
    </row>
    <row r="36">
      <c r="A36" t="s">
        <v>67</v>
      </c>
    </row>
    <row r="37">
      <c r="B37" t="s">
        <v>105</v>
      </c>
      <c r="C37" s="41">
        <v>2</v>
      </c>
      <c r="D37" t="s">
        <v>65</v>
      </c>
    </row>
    <row r="38">
      <c r="A38" s="16" t="s">
        <v>68</v>
      </c>
      <c r="B38" s="16" t="s">
        <v>69</v>
      </c>
      <c r="C38" s="42">
        <f>VLOOKUP(Тип_ПТ2,Параметры_ПТ[],6,FALSE)/(VLOOKUP(Тип_ПТ2,Параметры_ПТ[],4,FALSE)*VLOOKUP(Тип_ПТ2,Параметры_ПТ[],8,FALSE))</f>
        <v>3.5</v>
      </c>
      <c r="D38" s="16" t="s">
        <v>44</v>
      </c>
      <c r="E38" s="23"/>
    </row>
    <row r="39">
      <c r="A39" s="16" t="s">
        <v>70</v>
      </c>
      <c r="B39" s="16" t="s">
        <v>71</v>
      </c>
      <c r="C39" s="42">
        <f>2*C38</f>
        <v>7</v>
      </c>
      <c r="D39" s="16" t="s">
        <v>44</v>
      </c>
      <c r="E39" s="23"/>
    </row>
    <row r="40">
      <c r="A40" s="16"/>
      <c r="B40" s="16" t="s">
        <v>72</v>
      </c>
      <c r="C40" s="42">
        <f>1/(1+C23/C39)</f>
        <v>0.68627450980392146</v>
      </c>
      <c r="D40" s="16"/>
      <c r="E40" s="23"/>
    </row>
    <row r="41">
      <c r="A41" s="16"/>
      <c r="B41" s="16" t="s">
        <v>91</v>
      </c>
      <c r="C41" s="42">
        <f>C26/(C40*0.5*VLOOKUP(Тип_ПТ2,Параметры_ПТ[],4,FALSE))</f>
        <v>9.5958188153310129</v>
      </c>
      <c r="D41" s="16" t="s">
        <v>17</v>
      </c>
      <c r="E41" s="23"/>
    </row>
    <row r="42">
      <c r="A42" s="16"/>
      <c r="B42" s="16" t="s">
        <v>106</v>
      </c>
      <c r="C42" s="42">
        <f>C28/C41</f>
        <v>2.1960784313725488</v>
      </c>
      <c r="D42" s="16"/>
      <c r="E42" s="23"/>
    </row>
    <row r="43">
      <c r="A43" s="16"/>
      <c r="B43" s="16" t="s">
        <v>76</v>
      </c>
      <c r="C43" s="42">
        <f>1000*C40*VLOOKUP(Тип_ПТ2,Параметры_ПТ[],4,FALSE)*C37/VLOOKUP(Тип_ПТ2,Параметры_ПТ[],6,FALSE)</f>
        <v>26.143790849673199</v>
      </c>
      <c r="D43" s="16" t="s">
        <v>44</v>
      </c>
      <c r="E43" s="23"/>
    </row>
    <row r="44">
      <c r="A44" s="16"/>
      <c r="B44" s="16" t="s">
        <v>83</v>
      </c>
      <c r="C44" s="42">
        <f>VLOOKUP(Тип_ПТ2,Параметры_ПТ[],6,FALSE)+VLOOKUP(Тип_ПТ2,Параметры_ПТ[],8,FALSE)*(1+C42)</f>
        <v>152.94117647058823</v>
      </c>
      <c r="D44" s="16" t="s">
        <v>80</v>
      </c>
      <c r="E44" s="23"/>
    </row>
    <row r="45">
      <c r="A45" s="16"/>
      <c r="B45" s="16" t="s">
        <v>107</v>
      </c>
      <c r="C45" s="43">
        <v>270</v>
      </c>
      <c r="D45" s="16" t="s">
        <v>80</v>
      </c>
      <c r="E45" s="23">
        <f>C70</f>
        <v>253.55998214937725</v>
      </c>
    </row>
    <row r="46">
      <c r="A46" s="16"/>
      <c r="B46" s="16" t="s">
        <v>108</v>
      </c>
      <c r="C46" s="42">
        <f>1000000/(C45*C43)</f>
        <v>141.66666666666669</v>
      </c>
      <c r="D46" s="16" t="s">
        <v>109</v>
      </c>
      <c r="E46" s="23"/>
    </row>
    <row r="47">
      <c r="A47" s="16"/>
      <c r="B47" s="16" t="s">
        <v>110</v>
      </c>
      <c r="C47" s="42">
        <f>6.28*C5</f>
        <v>314</v>
      </c>
      <c r="D47" s="16" t="s">
        <v>109</v>
      </c>
      <c r="E47" s="23"/>
      <c r="F47" s="8"/>
    </row>
    <row r="48">
      <c r="A48" s="16"/>
      <c r="B48" s="16" t="s">
        <v>111</v>
      </c>
      <c r="C48" s="42">
        <f>VLOOKUP(Тип_ПТ2,Параметры_ПТ[],7,FALSE)+VLOOKUP(Тип_ПТ2,Параметры_ПТ[],8,FALSE)</f>
        <v>105</v>
      </c>
      <c r="D48" s="16" t="s">
        <v>80</v>
      </c>
      <c r="E48" s="23"/>
      <c r="F48" s="8"/>
    </row>
    <row r="49" ht="14.65">
      <c r="F49" s="8"/>
    </row>
    <row r="50">
      <c r="A50" s="1" t="s">
        <v>112</v>
      </c>
      <c r="B50" s="2"/>
      <c r="C50" s="44" t="s">
        <v>113</v>
      </c>
      <c r="D50" s="2"/>
      <c r="E50" s="45"/>
      <c r="F50" s="46"/>
    </row>
    <row r="51">
      <c r="A51" s="7"/>
      <c r="B51" s="8" t="s">
        <v>114</v>
      </c>
      <c r="C51" s="40">
        <v>0.41599999999999998</v>
      </c>
      <c r="D51" s="8"/>
      <c r="E51" s="47"/>
      <c r="F51" s="48"/>
    </row>
    <row r="52">
      <c r="A52" s="7"/>
      <c r="B52" s="8" t="s">
        <v>115</v>
      </c>
      <c r="C52" s="40">
        <v>0.70999999999999996</v>
      </c>
      <c r="D52" s="8"/>
      <c r="E52" s="47"/>
      <c r="F52" s="48"/>
    </row>
    <row r="53">
      <c r="A53" s="7"/>
      <c r="B53" s="8"/>
      <c r="C53" s="40"/>
      <c r="D53" s="8"/>
      <c r="E53" s="47"/>
      <c r="F53" s="48"/>
    </row>
    <row r="54">
      <c r="A54" s="7"/>
      <c r="B54" s="8" t="s">
        <v>86</v>
      </c>
      <c r="C54" s="49">
        <f>1000000*2*C52/(C5*C45)</f>
        <v>105.18518518518519</v>
      </c>
      <c r="D54" s="8" t="s">
        <v>44</v>
      </c>
      <c r="E54" s="47"/>
      <c r="F54" s="48"/>
    </row>
    <row r="55">
      <c r="A55" s="7" t="s">
        <v>116</v>
      </c>
      <c r="B55" s="8"/>
      <c r="C55" s="49"/>
      <c r="D55" s="8"/>
      <c r="E55" s="47"/>
      <c r="F55" s="48"/>
    </row>
    <row r="56">
      <c r="A56" s="7"/>
      <c r="B56" s="8" t="s">
        <v>86</v>
      </c>
      <c r="C56" s="50">
        <v>50</v>
      </c>
      <c r="D56" s="8" t="s">
        <v>44</v>
      </c>
      <c r="E56" s="47"/>
      <c r="F56" s="48"/>
    </row>
    <row r="57">
      <c r="A57" s="7"/>
      <c r="B57" s="8" t="s">
        <v>110</v>
      </c>
      <c r="C57" s="49">
        <f>1000000*2*C52/(C56*C45)</f>
        <v>105.18518518518519</v>
      </c>
      <c r="D57" s="8" t="s">
        <v>109</v>
      </c>
      <c r="E57" s="47"/>
      <c r="F57" s="48"/>
    </row>
    <row r="58">
      <c r="A58" s="7"/>
      <c r="B58" s="8" t="s">
        <v>117</v>
      </c>
      <c r="C58" s="40">
        <f>C45*C51/(4*C52)</f>
        <v>39.549295774647888</v>
      </c>
      <c r="D58" s="8" t="s">
        <v>80</v>
      </c>
      <c r="E58" s="47"/>
      <c r="F58" s="48"/>
    </row>
    <row r="59">
      <c r="A59" s="7"/>
      <c r="B59" s="8" t="s">
        <v>118</v>
      </c>
      <c r="C59" s="40">
        <f>1000000000*2*C52*C52/(C57*C57*C45)</f>
        <v>337.5</v>
      </c>
      <c r="D59" s="8" t="s">
        <v>65</v>
      </c>
      <c r="E59" s="47"/>
      <c r="F59" s="48"/>
    </row>
    <row r="60">
      <c r="A60" s="7"/>
      <c r="B60" s="8" t="s">
        <v>119</v>
      </c>
      <c r="C60" s="40">
        <f>C59*(1-C51/C52)/2+C37</f>
        <v>71.876760563380287</v>
      </c>
      <c r="D60" s="8" t="s">
        <v>65</v>
      </c>
      <c r="E60" s="47"/>
      <c r="F60" s="48"/>
    </row>
    <row r="61">
      <c r="A61" s="7"/>
      <c r="B61" s="8" t="s">
        <v>92</v>
      </c>
      <c r="C61" s="40">
        <f>C41*C41/(2*C56)</f>
        <v>0.92079738736660688</v>
      </c>
      <c r="D61" s="8" t="s">
        <v>22</v>
      </c>
      <c r="E61" s="47"/>
      <c r="F61" s="48"/>
    </row>
    <row r="62" ht="14.65">
      <c r="A62" s="11"/>
      <c r="B62" s="12" t="s">
        <v>93</v>
      </c>
      <c r="C62" s="51">
        <f>C30/C61</f>
        <v>75.355632449058021</v>
      </c>
      <c r="D62" s="12"/>
      <c r="E62" s="52">
        <v>30</v>
      </c>
      <c r="F62" s="53"/>
    </row>
    <row r="63" ht="14.65"/>
    <row r="64">
      <c r="A64" s="1" t="s">
        <v>120</v>
      </c>
      <c r="B64" s="2"/>
      <c r="C64" s="44" t="s">
        <v>121</v>
      </c>
      <c r="D64" s="2"/>
      <c r="E64" s="45"/>
      <c r="F64" s="54"/>
    </row>
    <row r="65">
      <c r="A65" s="7" t="s">
        <v>64</v>
      </c>
      <c r="B65" s="8"/>
      <c r="C65" s="19">
        <v>25</v>
      </c>
      <c r="D65" s="8" t="s">
        <v>65</v>
      </c>
      <c r="E65" s="47"/>
      <c r="F65" s="55"/>
    </row>
    <row r="66">
      <c r="A66" s="7"/>
      <c r="B66" s="8"/>
      <c r="C66" s="14"/>
      <c r="D66" s="8"/>
      <c r="E66" s="47"/>
      <c r="F66" s="55"/>
    </row>
    <row r="67">
      <c r="A67" s="7" t="s">
        <v>67</v>
      </c>
      <c r="B67" s="8"/>
      <c r="C67" s="14"/>
      <c r="D67" s="8"/>
      <c r="E67" s="47"/>
      <c r="F67" s="55"/>
    </row>
    <row r="68">
      <c r="A68" s="7"/>
      <c r="B68" s="8" t="s">
        <v>73</v>
      </c>
      <c r="C68" s="14">
        <f>15+C65</f>
        <v>40</v>
      </c>
      <c r="D68" s="8" t="s">
        <v>65</v>
      </c>
      <c r="E68" s="47"/>
      <c r="F68" s="55"/>
    </row>
    <row r="69">
      <c r="A69" s="7"/>
      <c r="B69" s="8" t="s">
        <v>77</v>
      </c>
      <c r="C69" s="56">
        <f>6.28*C5*C68/C43/1000</f>
        <v>0.48042000000000007</v>
      </c>
      <c r="D69" s="8"/>
      <c r="E69" s="57">
        <v>1</v>
      </c>
      <c r="F69" s="55"/>
    </row>
    <row r="70">
      <c r="A70" s="7"/>
      <c r="B70" s="8" t="s">
        <v>83</v>
      </c>
      <c r="C70" s="14">
        <f>1000000000/(6.28*C5*6.28*C5*C68)</f>
        <v>253.55998214937725</v>
      </c>
      <c r="D70" s="8"/>
      <c r="E70" s="47"/>
      <c r="F70" s="55"/>
    </row>
    <row r="71">
      <c r="A71" s="7"/>
      <c r="B71" s="8" t="s">
        <v>84</v>
      </c>
      <c r="C71" s="14">
        <f>C45*C70/(C45-C70)</f>
        <v>4164.3017545591365</v>
      </c>
      <c r="D71" s="8" t="s">
        <v>80</v>
      </c>
      <c r="E71" s="47"/>
      <c r="F71" s="55"/>
    </row>
    <row r="72">
      <c r="A72" s="7"/>
      <c r="B72" s="8" t="s">
        <v>85</v>
      </c>
      <c r="C72" s="14">
        <f>1000000/(C40*C46*C71)</f>
        <v>2.4699733333333351</v>
      </c>
      <c r="D72" s="8" t="s">
        <v>44</v>
      </c>
      <c r="E72" s="47"/>
      <c r="F72" s="55"/>
    </row>
    <row r="73">
      <c r="A73" s="7"/>
      <c r="B73" s="8" t="s">
        <v>86</v>
      </c>
      <c r="C73" s="56">
        <f>2*C43</f>
        <v>52.287581699346397</v>
      </c>
      <c r="D73" s="8" t="s">
        <v>44</v>
      </c>
      <c r="E73" s="57" t="s">
        <v>87</v>
      </c>
      <c r="F73" s="55"/>
    </row>
    <row r="74">
      <c r="A74" s="7"/>
      <c r="B74" s="8" t="s">
        <v>88</v>
      </c>
      <c r="C74" s="14">
        <f>C73/(6.28*C5)</f>
        <v>0.16652096082594395</v>
      </c>
      <c r="D74" s="8" t="s">
        <v>89</v>
      </c>
      <c r="E74" s="47"/>
      <c r="F74" s="55"/>
    </row>
    <row r="75">
      <c r="A75" s="7"/>
      <c r="B75" s="8" t="s">
        <v>90</v>
      </c>
      <c r="C75" s="14">
        <f>1000000/(6.28*C5*C73)</f>
        <v>60.907643312101925</v>
      </c>
      <c r="D75" s="8" t="s">
        <v>80</v>
      </c>
      <c r="E75" s="47"/>
      <c r="F75" s="55"/>
    </row>
    <row r="76">
      <c r="A76" s="7"/>
      <c r="B76" s="8" t="s">
        <v>91</v>
      </c>
      <c r="C76" s="14">
        <f>C41*C45/C70</f>
        <v>10.217981000696868</v>
      </c>
      <c r="D76" s="8" t="s">
        <v>17</v>
      </c>
      <c r="E76" s="47"/>
      <c r="F76" s="55"/>
    </row>
    <row r="77">
      <c r="A77" s="7"/>
      <c r="B77" s="8" t="s">
        <v>92</v>
      </c>
      <c r="C77" s="14">
        <f>C76*C76/(2*C73)</f>
        <v>0.99839323542388347</v>
      </c>
      <c r="D77" s="8" t="s">
        <v>22</v>
      </c>
      <c r="E77" s="47"/>
      <c r="F77" s="55"/>
    </row>
    <row r="78" ht="14.65">
      <c r="A78" s="11"/>
      <c r="B78" s="12" t="s">
        <v>93</v>
      </c>
      <c r="C78" s="58">
        <f>C30/C77</f>
        <v>69.498937913968817</v>
      </c>
      <c r="D78" s="12"/>
      <c r="E78" s="52">
        <v>30</v>
      </c>
      <c r="F78" s="59"/>
    </row>
  </sheetData>
  <mergeCells count="1">
    <mergeCell ref="B1:C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greaterThan" id="{000A005A-0087-48A5-BF12-009E005500B1}">
            <xm:f>$E$29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12" operator="greaterThan" id="{0089004B-0074-4E0F-869E-00A900FB00C5}">
            <xm:f>$E$32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ellIs" priority="11" operator="lessThan" id="{006600B0-0042-4ED7-A67E-003400960058}">
            <xm:f>$E$33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ellIs" priority="10" operator="greaterThan" id="{00E400D5-0000-4F32-8D71-00C400320089}">
            <xm:f>$E$23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ellIs" priority="9" operator="greaterThan" id="{00C00005-0071-45FB-92FE-001700730056}">
            <xm:f>$C$46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cellIs" priority="8" operator="lessThan" id="{007A0005-00B5-4D22-856C-006A00AE006C}">
            <xm:f>$E$62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ellIs" priority="7" operator="lessThan" id="{00040088-0038-447B-B4AA-00880039004B}">
            <xm:f>1.3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ellIs" priority="6" operator="greaterThan" id="{00A30081-0062-4E4D-A093-008C004C006B}">
            <xm:f>1.31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ellIs" priority="5" operator="lessThan" id="{00760090-00A3-4909-9224-009E009800D5}">
            <xm:f>$E$63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ellIs" priority="4" operator="lessThan" id="{00FB00EF-00F7-4BB0-B1AA-00F200FA0052}">
            <xm:f>$E$78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cellIs" priority="3" operator="lessThan" id="{001A00B0-00A6-42AF-97CC-001E00770030}">
            <xm:f>$E$33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2" operator="greaterThan" id="{007400E3-0039-449E-940C-00B8003C00F3}">
            <xm:f>$E$34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1" operator="lessThan" id="{00760051-00D5-4C24-98BC-0044008100D2}">
            <xm:f>$E$30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6" activeCellId="0" sqref="D6"/>
    </sheetView>
  </sheetViews>
  <sheetFormatPr defaultRowHeight="14.25"/>
  <cols>
    <col customWidth="1" min="1" max="1" width="15.33203125"/>
  </cols>
  <sheetData>
    <row r="1" s="28" customFormat="1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</row>
    <row r="2">
      <c r="A2" t="s">
        <v>8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</row>
    <row r="3">
      <c r="A3" t="s">
        <v>9</v>
      </c>
      <c r="B3">
        <v>70</v>
      </c>
      <c r="C3">
        <v>20</v>
      </c>
      <c r="D3">
        <v>100</v>
      </c>
      <c r="E3">
        <v>30</v>
      </c>
      <c r="F3">
        <v>5</v>
      </c>
      <c r="G3">
        <v>5</v>
      </c>
      <c r="H3">
        <v>5</v>
      </c>
      <c r="I3">
        <v>200</v>
      </c>
      <c r="J3">
        <v>0.5</v>
      </c>
      <c r="K3">
        <v>1.2</v>
      </c>
      <c r="L3">
        <v>1.6599999999999999</v>
      </c>
      <c r="M3">
        <v>150</v>
      </c>
    </row>
    <row r="4">
      <c r="A4" t="s">
        <v>134</v>
      </c>
      <c r="B4">
        <v>65</v>
      </c>
      <c r="C4">
        <v>3</v>
      </c>
      <c r="D4">
        <v>350</v>
      </c>
      <c r="E4">
        <v>80</v>
      </c>
      <c r="F4">
        <v>0.90000000000000002</v>
      </c>
      <c r="G4">
        <v>2.3999999999999999</v>
      </c>
      <c r="H4">
        <v>2.3999999999999999</v>
      </c>
      <c r="I4">
        <v>60</v>
      </c>
      <c r="J4">
        <v>0.5</v>
      </c>
      <c r="K4">
        <v>1</v>
      </c>
      <c r="L4">
        <v>3</v>
      </c>
      <c r="M4">
        <v>160</v>
      </c>
    </row>
    <row r="5">
      <c r="A5" t="s">
        <v>135</v>
      </c>
      <c r="B5">
        <v>36</v>
      </c>
      <c r="C5">
        <v>3.2999999999999998</v>
      </c>
      <c r="D5">
        <v>1000</v>
      </c>
      <c r="E5">
        <v>80</v>
      </c>
      <c r="F5">
        <v>1</v>
      </c>
      <c r="G5">
        <v>2.3999999999999999</v>
      </c>
      <c r="H5">
        <v>2.3999999999999999</v>
      </c>
      <c r="I5">
        <v>45</v>
      </c>
      <c r="J5">
        <v>0.5</v>
      </c>
      <c r="K5">
        <v>0.40000000000000002</v>
      </c>
      <c r="L5">
        <v>4.4000000000000004</v>
      </c>
      <c r="M5">
        <v>150</v>
      </c>
    </row>
    <row r="6">
      <c r="A6" t="s">
        <v>136</v>
      </c>
      <c r="B6">
        <v>50</v>
      </c>
      <c r="C6">
        <v>10</v>
      </c>
      <c r="D6">
        <v>900</v>
      </c>
      <c r="E6">
        <v>55</v>
      </c>
      <c r="F6">
        <v>0.20000000000000001</v>
      </c>
      <c r="G6">
        <v>1.3999999999999999</v>
      </c>
      <c r="H6">
        <v>1.6000000000000001</v>
      </c>
      <c r="I6">
        <v>145</v>
      </c>
      <c r="J6">
        <v>0.5</v>
      </c>
      <c r="K6">
        <v>0.5</v>
      </c>
      <c r="L6">
        <v>1</v>
      </c>
      <c r="M6">
        <v>160</v>
      </c>
    </row>
    <row r="7">
      <c r="A7" t="s">
        <v>94</v>
      </c>
      <c r="B7">
        <v>60</v>
      </c>
      <c r="C7">
        <v>15</v>
      </c>
      <c r="D7">
        <v>400</v>
      </c>
      <c r="E7">
        <v>50</v>
      </c>
      <c r="F7">
        <v>0.29999999999999999</v>
      </c>
      <c r="G7">
        <v>1.5</v>
      </c>
      <c r="H7">
        <v>1.6000000000000001</v>
      </c>
      <c r="I7">
        <v>200</v>
      </c>
      <c r="J7">
        <v>0.5</v>
      </c>
      <c r="K7">
        <v>0.29999999999999999</v>
      </c>
      <c r="L7">
        <v>0.80000000000000004</v>
      </c>
      <c r="M7">
        <v>160</v>
      </c>
    </row>
    <row r="8">
      <c r="A8" t="s">
        <v>137</v>
      </c>
      <c r="B8">
        <v>100</v>
      </c>
      <c r="C8">
        <v>10</v>
      </c>
      <c r="D8">
        <v>210</v>
      </c>
      <c r="E8">
        <v>38</v>
      </c>
      <c r="F8">
        <v>1.6000000000000001</v>
      </c>
      <c r="G8">
        <v>1.8999999999999999</v>
      </c>
      <c r="H8">
        <v>2.7999999999999998</v>
      </c>
      <c r="I8">
        <v>300</v>
      </c>
      <c r="J8">
        <v>0.5</v>
      </c>
      <c r="K8">
        <v>0.5</v>
      </c>
      <c r="L8">
        <v>0.56999999999999995</v>
      </c>
      <c r="M8">
        <v>200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defaultRowHeight="14.25"/>
  <cols>
    <col customWidth="1" min="1" max="1" width="15.33203125"/>
  </cols>
  <sheetData>
    <row r="1" s="28" customFormat="1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</row>
    <row r="2">
      <c r="A2" t="s">
        <v>8</v>
      </c>
      <c r="B2" t="s">
        <v>138</v>
      </c>
      <c r="C2" t="s">
        <v>101</v>
      </c>
      <c r="D2" t="s">
        <v>139</v>
      </c>
      <c r="E2" t="s">
        <v>28</v>
      </c>
      <c r="F2" t="s">
        <v>140</v>
      </c>
      <c r="G2" t="s">
        <v>141</v>
      </c>
      <c r="H2" t="s">
        <v>142</v>
      </c>
      <c r="I2" t="s">
        <v>132</v>
      </c>
      <c r="J2" t="s">
        <v>133</v>
      </c>
    </row>
    <row r="3">
      <c r="A3" t="s">
        <v>143</v>
      </c>
      <c r="B3">
        <v>65</v>
      </c>
      <c r="C3">
        <v>28</v>
      </c>
      <c r="D3">
        <v>0.17999999999999999</v>
      </c>
      <c r="E3">
        <v>1</v>
      </c>
      <c r="F3">
        <v>16</v>
      </c>
      <c r="G3">
        <v>14</v>
      </c>
      <c r="H3">
        <v>1.8</v>
      </c>
      <c r="I3">
        <v>7</v>
      </c>
      <c r="J3">
        <v>150</v>
      </c>
    </row>
    <row r="4">
      <c r="A4" t="s">
        <v>100</v>
      </c>
      <c r="B4">
        <v>65</v>
      </c>
      <c r="C4">
        <v>28</v>
      </c>
      <c r="D4">
        <v>2</v>
      </c>
      <c r="E4">
        <f>1/0.45</f>
        <v>2.2222222222222223</v>
      </c>
      <c r="F4">
        <v>105</v>
      </c>
      <c r="G4">
        <v>90</v>
      </c>
      <c r="H4">
        <v>15</v>
      </c>
      <c r="I4">
        <v>1.45</v>
      </c>
      <c r="J4">
        <v>150</v>
      </c>
    </row>
    <row r="5">
      <c r="A5" t="s">
        <v>144</v>
      </c>
      <c r="B5">
        <v>60</v>
      </c>
      <c r="C5">
        <v>28</v>
      </c>
      <c r="D5">
        <v>0.11</v>
      </c>
      <c r="E5">
        <v>0.20000000000000001</v>
      </c>
      <c r="F5">
        <v>15</v>
      </c>
      <c r="G5">
        <v>15</v>
      </c>
      <c r="H5">
        <v>0.69999999999999996</v>
      </c>
      <c r="I5">
        <v>10</v>
      </c>
      <c r="J5">
        <v>150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Вадим Сафин</cp:lastModifiedBy>
  <cp:revision>1</cp:revision>
  <dcterms:created xsi:type="dcterms:W3CDTF">2006-09-16T00:00:00Z</dcterms:created>
  <dcterms:modified xsi:type="dcterms:W3CDTF">2023-04-21T12:18:09Z</dcterms:modified>
</cp:coreProperties>
</file>