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F:\University\7 сем\generators\"/>
    </mc:Choice>
  </mc:AlternateContent>
  <xr:revisionPtr revIDLastSave="0" documentId="13_ncr:1_{2C67A8CC-7754-49D8-BA75-3FB5897E2EC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Параметры транзисторов" sheetId="2" r:id="rId1"/>
    <sheet name="0. Задание" sheetId="3" r:id="rId2"/>
    <sheet name="1. Расчёт АГ" sheetId="1" r:id="rId3"/>
    <sheet name="Пример расчёта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3" l="1"/>
  <c r="E16" i="3"/>
  <c r="C16" i="3"/>
  <c r="B16" i="3"/>
  <c r="C15" i="4"/>
  <c r="C13" i="4"/>
  <c r="K6" i="4"/>
  <c r="S21" i="1"/>
  <c r="C15" i="1"/>
  <c r="I23" i="1"/>
  <c r="H25" i="1"/>
  <c r="H24" i="1"/>
  <c r="K23" i="1"/>
  <c r="J25" i="1"/>
  <c r="J24" i="1"/>
  <c r="C14" i="1"/>
  <c r="C13" i="3"/>
  <c r="C12" i="3"/>
  <c r="C10" i="3"/>
  <c r="C9" i="3"/>
  <c r="C7" i="1"/>
  <c r="H12" i="1"/>
  <c r="M13" i="1"/>
  <c r="O6" i="1"/>
  <c r="O4" i="1"/>
  <c r="C4" i="1"/>
  <c r="C5" i="1" s="1"/>
  <c r="O7" i="1" l="1"/>
  <c r="C26" i="1"/>
  <c r="C29" i="1"/>
  <c r="C30" i="1" s="1"/>
  <c r="C17" i="1" l="1"/>
  <c r="Y13" i="1"/>
  <c r="C27" i="1"/>
  <c r="C37" i="1"/>
  <c r="M26" i="1" l="1"/>
  <c r="M16" i="1"/>
  <c r="M18" i="1" s="1"/>
  <c r="M20" i="1" s="1"/>
  <c r="C19" i="1"/>
  <c r="Y21" i="1" l="1"/>
  <c r="M32" i="1"/>
  <c r="S32" i="1"/>
  <c r="S26" i="1"/>
  <c r="S13" i="1" l="1"/>
  <c r="S14" i="1" s="1"/>
  <c r="M33" i="1"/>
  <c r="M35" i="1"/>
  <c r="M36" i="1" s="1"/>
</calcChain>
</file>

<file path=xl/sharedStrings.xml><?xml version="1.0" encoding="utf-8"?>
<sst xmlns="http://schemas.openxmlformats.org/spreadsheetml/2006/main" count="139" uniqueCount="104">
  <si>
    <t>Название транзистора</t>
  </si>
  <si>
    <t>Тип проводимости</t>
  </si>
  <si>
    <t>Sгр, А/В</t>
  </si>
  <si>
    <r>
      <rPr>
        <sz val="11"/>
        <color theme="1"/>
        <rFont val="Times New Roman"/>
        <family val="1"/>
        <charset val="204"/>
      </rPr>
      <t>β</t>
    </r>
    <r>
      <rPr>
        <sz val="11"/>
        <color theme="1"/>
        <rFont val="Calibri"/>
        <family val="2"/>
      </rPr>
      <t>0</t>
    </r>
  </si>
  <si>
    <t>Еб0, В</t>
  </si>
  <si>
    <t>Cк, пФ</t>
  </si>
  <si>
    <t>Основные параметры</t>
  </si>
  <si>
    <t>Предельные параметры</t>
  </si>
  <si>
    <t>Uк.доп, В</t>
  </si>
  <si>
    <t>uэ-б.доп, В</t>
  </si>
  <si>
    <t>iк.доп, А</t>
  </si>
  <si>
    <t>Рк.доп, Вт</t>
  </si>
  <si>
    <t>ГТ311</t>
  </si>
  <si>
    <t>n-p-n</t>
  </si>
  <si>
    <t xml:space="preserve"> </t>
  </si>
  <si>
    <t>rб, Ом</t>
  </si>
  <si>
    <t>мА</t>
  </si>
  <si>
    <t>Eк=</t>
  </si>
  <si>
    <t>iкm=</t>
  </si>
  <si>
    <t>В</t>
  </si>
  <si>
    <t>S0=</t>
  </si>
  <si>
    <t>А/В</t>
  </si>
  <si>
    <t>fs=</t>
  </si>
  <si>
    <t>МГц</t>
  </si>
  <si>
    <t>φs=</t>
  </si>
  <si>
    <t>ОКГ</t>
  </si>
  <si>
    <t>ССЧ</t>
  </si>
  <si>
    <t>УМ</t>
  </si>
  <si>
    <t>Модулятор</t>
  </si>
  <si>
    <t>БКФ</t>
  </si>
  <si>
    <t>Тип ОКГ</t>
  </si>
  <si>
    <t>Частота, МГц</t>
  </si>
  <si>
    <t>Тип транзистора</t>
  </si>
  <si>
    <t>Тип ССЧ</t>
  </si>
  <si>
    <t>Минимальная частота, МГЦ</t>
  </si>
  <si>
    <t>Максимальная частота, МГЦ</t>
  </si>
  <si>
    <t>Макс. Номер комб. Сост.</t>
  </si>
  <si>
    <t>Шаг сетки частот, кГц</t>
  </si>
  <si>
    <t>Уровень вых. мощности, Вт</t>
  </si>
  <si>
    <t>Тип модуляции</t>
  </si>
  <si>
    <t>Тип модулятора</t>
  </si>
  <si>
    <t>Тип фильтра</t>
  </si>
  <si>
    <t>К-т перекрытия</t>
  </si>
  <si>
    <t>Порядок</t>
  </si>
  <si>
    <t>Номер фильтра</t>
  </si>
  <si>
    <t>БТ</t>
  </si>
  <si>
    <t>A3A</t>
  </si>
  <si>
    <t>Фазокомпенсационный</t>
  </si>
  <si>
    <t>ПФ</t>
  </si>
  <si>
    <t>Iк0=</t>
  </si>
  <si>
    <t>θ</t>
  </si>
  <si>
    <t>α0</t>
  </si>
  <si>
    <t>α1</t>
  </si>
  <si>
    <t>град</t>
  </si>
  <si>
    <t>Iк1=</t>
  </si>
  <si>
    <t>А</t>
  </si>
  <si>
    <t>ηк=</t>
  </si>
  <si>
    <t>P~=</t>
  </si>
  <si>
    <t>Вт</t>
  </si>
  <si>
    <t>мВт</t>
  </si>
  <si>
    <t>Uк=</t>
  </si>
  <si>
    <t>u о.гр=</t>
  </si>
  <si>
    <t>ξ гр=</t>
  </si>
  <si>
    <t>ξ = 0,3ξ гр</t>
  </si>
  <si>
    <t xml:space="preserve"> В</t>
  </si>
  <si>
    <t>1. Расчёт импульсных значений</t>
  </si>
  <si>
    <t>2. Определение крутизны</t>
  </si>
  <si>
    <t>3. Постоянная составляющая и первая гармоника коллекторного тока</t>
  </si>
  <si>
    <t>4. Амплитуда напряжения на коллекторе</t>
  </si>
  <si>
    <t>5. Напряжение коллекторного питания</t>
  </si>
  <si>
    <t>6. Эквивалентное сопротивление нагрузки</t>
  </si>
  <si>
    <t>Ом</t>
  </si>
  <si>
    <t>Z эк =</t>
  </si>
  <si>
    <t>7. Мощности</t>
  </si>
  <si>
    <t>P0=</t>
  </si>
  <si>
    <t>Pк=</t>
  </si>
  <si>
    <t>8. КПД по коллекторной цепи</t>
  </si>
  <si>
    <t>η=</t>
  </si>
  <si>
    <t>9. Напряжения возбуждения на базе</t>
  </si>
  <si>
    <t>Uб=</t>
  </si>
  <si>
    <t>fг=</t>
  </si>
  <si>
    <t>fт_min, МГц</t>
  </si>
  <si>
    <t>fт_max, МГц</t>
  </si>
  <si>
    <t>10. Напряжение смещения на базе</t>
  </si>
  <si>
    <t xml:space="preserve">E см = </t>
  </si>
  <si>
    <t>косинус</t>
  </si>
  <si>
    <t>11. Коэффициент ОС</t>
  </si>
  <si>
    <t>К о.с. =</t>
  </si>
  <si>
    <t>12. Сопротивление Rэ</t>
  </si>
  <si>
    <t xml:space="preserve">Rэ = </t>
  </si>
  <si>
    <t>13. Напряжение источнка коллекторного питания</t>
  </si>
  <si>
    <t xml:space="preserve">|E и.к| = </t>
  </si>
  <si>
    <t xml:space="preserve">Eк. доп = </t>
  </si>
  <si>
    <t>S1.0=</t>
  </si>
  <si>
    <t>1. Параметры транзистора</t>
  </si>
  <si>
    <t>2. Параметры колебательной системы и цепи ОС</t>
  </si>
  <si>
    <t>Параметры кварца</t>
  </si>
  <si>
    <t xml:space="preserve">R кв = </t>
  </si>
  <si>
    <t>f кв =</t>
  </si>
  <si>
    <t xml:space="preserve">Q кв = </t>
  </si>
  <si>
    <t xml:space="preserve">С0 = </t>
  </si>
  <si>
    <t>пФ</t>
  </si>
  <si>
    <t xml:space="preserve">P кв = </t>
  </si>
  <si>
    <t xml:space="preserve">R4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</si>
</sst>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8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4" fillId="0" borderId="16" xfId="0" applyFont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6" fillId="0" borderId="0" xfId="0" applyFont="1" applyAlignment="1"/>
    <xf numFmtId="0" fontId="2" fillId="0" borderId="29" xfId="0" applyFont="1" applyBorder="1"/>
    <xf numFmtId="0" fontId="2" fillId="0" borderId="30" xfId="0" applyFont="1" applyBorder="1"/>
    <xf numFmtId="0" fontId="2" fillId="0" borderId="29" xfId="0" applyFont="1" applyBorder="1" applyAlignment="1">
      <alignment horizontal="right"/>
    </xf>
    <xf numFmtId="0" fontId="2" fillId="0" borderId="31" xfId="0" applyFont="1" applyBorder="1"/>
    <xf numFmtId="0" fontId="2" fillId="0" borderId="32" xfId="0" applyFont="1" applyBorder="1"/>
    <xf numFmtId="0" fontId="2" fillId="0" borderId="18" xfId="0" applyFont="1" applyBorder="1"/>
    <xf numFmtId="0" fontId="2" fillId="0" borderId="31" xfId="0" applyFont="1" applyBorder="1" applyAlignment="1">
      <alignment horizontal="right"/>
    </xf>
    <xf numFmtId="0" fontId="7" fillId="0" borderId="29" xfId="0" applyFont="1" applyBorder="1" applyAlignment="1">
      <alignment horizontal="right"/>
    </xf>
    <xf numFmtId="9" fontId="2" fillId="0" borderId="0" xfId="1" applyFont="1" applyBorder="1"/>
    <xf numFmtId="0" fontId="2" fillId="0" borderId="0" xfId="0" applyNumberFormat="1" applyFont="1"/>
    <xf numFmtId="0" fontId="2" fillId="0" borderId="31" xfId="0" applyFont="1" applyBorder="1" applyAlignment="1"/>
    <xf numFmtId="0" fontId="2" fillId="0" borderId="24" xfId="0" applyFont="1" applyBorder="1" applyAlignment="1">
      <alignment horizontal="right"/>
    </xf>
    <xf numFmtId="0" fontId="2" fillId="0" borderId="25" xfId="0" applyFont="1" applyBorder="1"/>
    <xf numFmtId="0" fontId="2" fillId="0" borderId="25" xfId="0" applyFont="1" applyBorder="1" applyAlignment="1">
      <alignment horizontal="right"/>
    </xf>
    <xf numFmtId="0" fontId="2" fillId="0" borderId="26" xfId="0" applyFont="1" applyBorder="1"/>
    <xf numFmtId="0" fontId="2" fillId="0" borderId="32" xfId="0" applyFont="1" applyBorder="1" applyAlignment="1">
      <alignment horizontal="right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24" xfId="0" applyFont="1" applyBorder="1" applyAlignment="1">
      <alignment horizontal="center" wrapText="1"/>
    </xf>
    <xf numFmtId="0" fontId="7" fillId="0" borderId="25" xfId="0" applyFont="1" applyBorder="1" applyAlignment="1">
      <alignment horizontal="center" wrapText="1"/>
    </xf>
    <xf numFmtId="0" fontId="7" fillId="0" borderId="26" xfId="0" applyFont="1" applyBorder="1" applyAlignment="1">
      <alignment horizontal="center" wrapText="1"/>
    </xf>
    <xf numFmtId="0" fontId="7" fillId="0" borderId="27" xfId="0" applyFont="1" applyBorder="1" applyAlignment="1">
      <alignment horizontal="center" wrapText="1"/>
    </xf>
    <xf numFmtId="0" fontId="7" fillId="0" borderId="23" xfId="0" applyFont="1" applyBorder="1" applyAlignment="1">
      <alignment horizontal="center" wrapText="1"/>
    </xf>
    <xf numFmtId="0" fontId="7" fillId="0" borderId="28" xfId="0" applyFont="1" applyBorder="1" applyAlignment="1">
      <alignment horizontal="center" wrapText="1"/>
    </xf>
    <xf numFmtId="0" fontId="6" fillId="0" borderId="24" xfId="0" applyFont="1" applyBorder="1" applyAlignment="1">
      <alignment horizontal="center" wrapText="1"/>
    </xf>
    <xf numFmtId="0" fontId="6" fillId="0" borderId="25" xfId="0" applyFont="1" applyBorder="1" applyAlignment="1">
      <alignment horizontal="center" wrapText="1"/>
    </xf>
    <xf numFmtId="0" fontId="6" fillId="0" borderId="26" xfId="0" applyFont="1" applyBorder="1" applyAlignment="1">
      <alignment horizontal="center" wrapText="1"/>
    </xf>
    <xf numFmtId="0" fontId="6" fillId="0" borderId="27" xfId="0" applyFont="1" applyBorder="1" applyAlignment="1">
      <alignment horizontal="center" wrapText="1"/>
    </xf>
    <xf numFmtId="0" fontId="6" fillId="0" borderId="23" xfId="0" applyFont="1" applyBorder="1" applyAlignment="1">
      <alignment horizontal="center" wrapText="1"/>
    </xf>
    <xf numFmtId="0" fontId="6" fillId="0" borderId="28" xfId="0" applyFont="1" applyBorder="1" applyAlignment="1">
      <alignment horizontal="center" wrapText="1"/>
    </xf>
    <xf numFmtId="0" fontId="7" fillId="0" borderId="29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30" xfId="0" applyFont="1" applyBorder="1" applyAlignment="1">
      <alignment horizontal="center" wrapText="1"/>
    </xf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182880</xdr:colOff>
      <xdr:row>3</xdr:row>
      <xdr:rowOff>76200</xdr:rowOff>
    </xdr:from>
    <xdr:to>
      <xdr:col>10</xdr:col>
      <xdr:colOff>561593</xdr:colOff>
      <xdr:row>5</xdr:row>
      <xdr:rowOff>97207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C421F72-AF0C-6801-70FC-4752D2C98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0" y="670560"/>
          <a:ext cx="3686689" cy="371527"/>
        </a:xfrm>
        <a:prstGeom prst="rect">
          <a:avLst/>
        </a:prstGeom>
        <a:ln w="12700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3A3B-CB19-4E17-9917-0FDE17B07041}">
  <dimension ref="A1:M4"/>
  <sheetViews>
    <sheetView workbookViewId="0">
      <selection activeCell="J8" sqref="J8"/>
    </sheetView>
  </sheetViews>
  <sheetFormatPr defaultRowHeight="14.4" x14ac:dyDescent="0.3"/>
  <cols>
    <col min="1" max="1" width="19.6640625" customWidth="1"/>
    <col min="2" max="2" width="17.44140625" customWidth="1"/>
    <col min="3" max="3" width="9.109375" customWidth="1"/>
  </cols>
  <sheetData>
    <row r="1" spans="1:13" ht="15" thickBot="1" x14ac:dyDescent="0.35">
      <c r="A1" s="47" t="s">
        <v>0</v>
      </c>
      <c r="B1" s="49" t="s">
        <v>1</v>
      </c>
      <c r="C1" s="43" t="s">
        <v>6</v>
      </c>
      <c r="D1" s="44"/>
      <c r="E1" s="44"/>
      <c r="F1" s="44"/>
      <c r="G1" s="44"/>
      <c r="H1" s="44"/>
      <c r="I1" s="45"/>
      <c r="J1" s="46" t="s">
        <v>7</v>
      </c>
      <c r="K1" s="44"/>
      <c r="L1" s="44"/>
      <c r="M1" s="45"/>
    </row>
    <row r="2" spans="1:13" ht="28.8" x14ac:dyDescent="0.3">
      <c r="A2" s="48"/>
      <c r="B2" s="50"/>
      <c r="C2" s="11" t="s">
        <v>81</v>
      </c>
      <c r="D2" s="12" t="s">
        <v>82</v>
      </c>
      <c r="E2" s="12" t="s">
        <v>2</v>
      </c>
      <c r="F2" s="13" t="s">
        <v>3</v>
      </c>
      <c r="G2" s="12" t="s">
        <v>4</v>
      </c>
      <c r="H2" s="12" t="s">
        <v>5</v>
      </c>
      <c r="I2" s="14" t="s">
        <v>15</v>
      </c>
      <c r="J2" s="15" t="s">
        <v>8</v>
      </c>
      <c r="K2" s="12" t="s">
        <v>9</v>
      </c>
      <c r="L2" s="12" t="s">
        <v>10</v>
      </c>
      <c r="M2" s="14" t="s">
        <v>11</v>
      </c>
    </row>
    <row r="3" spans="1:13" x14ac:dyDescent="0.3">
      <c r="A3" s="3" t="s">
        <v>12</v>
      </c>
      <c r="B3" s="7" t="s">
        <v>13</v>
      </c>
      <c r="C3" s="3">
        <v>300</v>
      </c>
      <c r="D3" s="1">
        <v>800</v>
      </c>
      <c r="E3" s="1">
        <v>0.05</v>
      </c>
      <c r="F3" s="1">
        <v>50</v>
      </c>
      <c r="G3" s="1">
        <v>0.25</v>
      </c>
      <c r="H3" s="1">
        <v>3</v>
      </c>
      <c r="I3" s="2">
        <v>60</v>
      </c>
      <c r="J3" s="9">
        <v>12</v>
      </c>
      <c r="K3" s="1">
        <v>2</v>
      </c>
      <c r="L3" s="1">
        <v>0.05</v>
      </c>
      <c r="M3" s="2">
        <v>0.15</v>
      </c>
    </row>
    <row r="4" spans="1:13" ht="15" thickBot="1" x14ac:dyDescent="0.35">
      <c r="A4" s="4"/>
      <c r="B4" s="8"/>
      <c r="C4" s="4"/>
      <c r="D4" s="5"/>
      <c r="E4" s="5"/>
      <c r="F4" s="5"/>
      <c r="G4" s="5"/>
      <c r="H4" s="5"/>
      <c r="I4" s="6"/>
      <c r="J4" s="10"/>
      <c r="K4" s="5"/>
      <c r="L4" s="5"/>
      <c r="M4" s="6"/>
    </row>
  </sheetData>
  <mergeCells count="4">
    <mergeCell ref="C1:I1"/>
    <mergeCell ref="J1:M1"/>
    <mergeCell ref="A1:A2"/>
    <mergeCell ref="B1:B2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AA56-7F2D-4F58-B7CB-AE9DE648F8FC}">
  <dimension ref="B1:Q16"/>
  <sheetViews>
    <sheetView tabSelected="1" topLeftCell="A2" workbookViewId="0">
      <selection activeCell="K17" sqref="K17"/>
    </sheetView>
  </sheetViews>
  <sheetFormatPr defaultRowHeight="14.4" x14ac:dyDescent="0.3"/>
  <cols>
    <col min="13" max="13" width="22.44140625" customWidth="1"/>
  </cols>
  <sheetData>
    <row r="1" spans="2:17" ht="15" thickBot="1" x14ac:dyDescent="0.35"/>
    <row r="2" spans="2:17" x14ac:dyDescent="0.3">
      <c r="B2" s="51" t="s">
        <v>25</v>
      </c>
      <c r="C2" s="51"/>
      <c r="D2" s="51"/>
      <c r="E2" s="51" t="s">
        <v>26</v>
      </c>
      <c r="F2" s="51"/>
      <c r="G2" s="51"/>
      <c r="H2" s="51"/>
      <c r="I2" s="51"/>
      <c r="J2" s="51" t="s">
        <v>27</v>
      </c>
      <c r="K2" s="51"/>
      <c r="L2" s="51" t="s">
        <v>28</v>
      </c>
      <c r="M2" s="51"/>
      <c r="N2" s="51" t="s">
        <v>29</v>
      </c>
      <c r="O2" s="51"/>
      <c r="P2" s="51"/>
      <c r="Q2" s="52"/>
    </row>
    <row r="3" spans="2:17" ht="57.6" x14ac:dyDescent="0.3">
      <c r="B3" s="17" t="s">
        <v>30</v>
      </c>
      <c r="C3" s="17" t="s">
        <v>31</v>
      </c>
      <c r="D3" s="17" t="s">
        <v>32</v>
      </c>
      <c r="E3" s="17" t="s">
        <v>33</v>
      </c>
      <c r="F3" s="17" t="s">
        <v>34</v>
      </c>
      <c r="G3" s="17" t="s">
        <v>35</v>
      </c>
      <c r="H3" s="17" t="s">
        <v>36</v>
      </c>
      <c r="I3" s="17" t="s">
        <v>37</v>
      </c>
      <c r="J3" s="17" t="s">
        <v>32</v>
      </c>
      <c r="K3" s="17" t="s">
        <v>38</v>
      </c>
      <c r="L3" s="17" t="s">
        <v>39</v>
      </c>
      <c r="M3" s="17" t="s">
        <v>40</v>
      </c>
      <c r="N3" s="17" t="s">
        <v>41</v>
      </c>
      <c r="O3" s="17" t="s">
        <v>42</v>
      </c>
      <c r="P3" s="17" t="s">
        <v>43</v>
      </c>
      <c r="Q3" s="18" t="s">
        <v>44</v>
      </c>
    </row>
    <row r="4" spans="2:17" x14ac:dyDescent="0.3">
      <c r="B4" s="19">
        <v>2</v>
      </c>
      <c r="C4" s="19">
        <v>4</v>
      </c>
      <c r="D4" s="19" t="s">
        <v>12</v>
      </c>
      <c r="E4" s="19">
        <v>2</v>
      </c>
      <c r="F4" s="19">
        <v>5</v>
      </c>
      <c r="G4" s="19">
        <v>20</v>
      </c>
      <c r="H4" s="19">
        <v>6</v>
      </c>
      <c r="I4" s="19">
        <v>1</v>
      </c>
      <c r="J4" s="19" t="s">
        <v>45</v>
      </c>
      <c r="K4" s="19">
        <v>535</v>
      </c>
      <c r="L4" s="19" t="s">
        <v>46</v>
      </c>
      <c r="M4" s="19" t="s">
        <v>47</v>
      </c>
      <c r="N4" s="19" t="s">
        <v>48</v>
      </c>
      <c r="O4" s="19">
        <v>1.5</v>
      </c>
      <c r="P4" s="19">
        <v>5</v>
      </c>
      <c r="Q4" s="20">
        <v>2</v>
      </c>
    </row>
    <row r="8" spans="2:17" x14ac:dyDescent="0.3">
      <c r="B8" t="s">
        <v>96</v>
      </c>
    </row>
    <row r="9" spans="2:17" x14ac:dyDescent="0.3">
      <c r="B9" t="s">
        <v>98</v>
      </c>
      <c r="C9">
        <f>3.999931</f>
        <v>3.9999310000000001</v>
      </c>
      <c r="D9" t="s">
        <v>23</v>
      </c>
    </row>
    <row r="10" spans="2:17" x14ac:dyDescent="0.3">
      <c r="B10" t="s">
        <v>97</v>
      </c>
      <c r="C10">
        <f>44</f>
        <v>44</v>
      </c>
      <c r="D10" t="s">
        <v>71</v>
      </c>
    </row>
    <row r="11" spans="2:17" x14ac:dyDescent="0.3">
      <c r="B11" t="s">
        <v>99</v>
      </c>
      <c r="C11">
        <v>58000</v>
      </c>
    </row>
    <row r="12" spans="2:17" x14ac:dyDescent="0.3">
      <c r="B12" t="s">
        <v>100</v>
      </c>
      <c r="C12">
        <f>4*10^-12</f>
        <v>3.9999999999999999E-12</v>
      </c>
      <c r="D12" t="s">
        <v>101</v>
      </c>
    </row>
    <row r="13" spans="2:17" x14ac:dyDescent="0.3">
      <c r="B13" t="s">
        <v>102</v>
      </c>
      <c r="C13">
        <f>0.2*10^-3</f>
        <v>2.0000000000000001E-4</v>
      </c>
      <c r="D13" t="s">
        <v>58</v>
      </c>
    </row>
    <row r="15" spans="2:17" x14ac:dyDescent="0.3">
      <c r="B15" t="s">
        <v>98</v>
      </c>
      <c r="C15" t="s">
        <v>97</v>
      </c>
      <c r="D15" t="s">
        <v>99</v>
      </c>
      <c r="E15" t="s">
        <v>100</v>
      </c>
      <c r="F15" t="s">
        <v>102</v>
      </c>
    </row>
    <row r="16" spans="2:17" x14ac:dyDescent="0.3">
      <c r="B16">
        <f>3.999931</f>
        <v>3.9999310000000001</v>
      </c>
      <c r="C16">
        <f>44</f>
        <v>44</v>
      </c>
      <c r="D16">
        <v>58000</v>
      </c>
      <c r="E16">
        <f>4*10^-12</f>
        <v>3.9999999999999999E-12</v>
      </c>
      <c r="F16">
        <f>0.2*10^-3</f>
        <v>2.0000000000000001E-4</v>
      </c>
    </row>
  </sheetData>
  <mergeCells count="5">
    <mergeCell ref="B2:D2"/>
    <mergeCell ref="E2:I2"/>
    <mergeCell ref="J2:K2"/>
    <mergeCell ref="L2:M2"/>
    <mergeCell ref="N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37"/>
  <sheetViews>
    <sheetView topLeftCell="A4" zoomScale="85" zoomScaleNormal="85" workbookViewId="0">
      <selection activeCell="M20" sqref="M20"/>
    </sheetView>
  </sheetViews>
  <sheetFormatPr defaultRowHeight="13.8" x14ac:dyDescent="0.25"/>
  <cols>
    <col min="1" max="2" width="8.88671875" style="16"/>
    <col min="3" max="3" width="11.6640625" style="16" bestFit="1" customWidth="1"/>
    <col min="4" max="7" width="8.88671875" style="16"/>
    <col min="8" max="8" width="12.6640625" style="16" bestFit="1" customWidth="1"/>
    <col min="9" max="11" width="8.88671875" style="16"/>
    <col min="12" max="12" width="10.109375" style="16" customWidth="1"/>
    <col min="13" max="16384" width="8.88671875" style="16"/>
  </cols>
  <sheetData>
    <row r="2" spans="1:26" ht="18.600000000000001" thickBot="1" x14ac:dyDescent="0.4">
      <c r="B2" s="53" t="s">
        <v>65</v>
      </c>
      <c r="C2" s="54"/>
      <c r="D2" s="54"/>
      <c r="E2" s="55"/>
    </row>
    <row r="3" spans="1:26" x14ac:dyDescent="0.25">
      <c r="B3" s="27"/>
      <c r="C3" s="25"/>
      <c r="D3" s="25"/>
      <c r="E3" s="28"/>
    </row>
    <row r="4" spans="1:26" x14ac:dyDescent="0.25">
      <c r="A4" s="21"/>
      <c r="B4" s="29" t="s">
        <v>18</v>
      </c>
      <c r="C4" s="25">
        <f>0.2*'Параметры транзисторов'!L3</f>
        <v>1.0000000000000002E-2</v>
      </c>
      <c r="D4" s="25" t="s">
        <v>55</v>
      </c>
      <c r="E4" s="28"/>
      <c r="N4" s="21" t="s">
        <v>56</v>
      </c>
      <c r="O4" s="16">
        <f>0.2</f>
        <v>0.2</v>
      </c>
    </row>
    <row r="5" spans="1:26" x14ac:dyDescent="0.25">
      <c r="A5" s="21"/>
      <c r="B5" s="29"/>
      <c r="C5" s="25">
        <f>C4*1000</f>
        <v>10.000000000000002</v>
      </c>
      <c r="D5" s="25" t="s">
        <v>16</v>
      </c>
      <c r="E5" s="28"/>
    </row>
    <row r="6" spans="1:26" x14ac:dyDescent="0.25">
      <c r="B6" s="27"/>
      <c r="C6" s="25"/>
      <c r="D6" s="25"/>
      <c r="E6" s="28"/>
      <c r="N6" s="16" t="s">
        <v>57</v>
      </c>
      <c r="O6" s="16">
        <f>1*10^-3/O4</f>
        <v>5.0000000000000001E-3</v>
      </c>
      <c r="P6" s="16" t="s">
        <v>58</v>
      </c>
    </row>
    <row r="7" spans="1:26" x14ac:dyDescent="0.25">
      <c r="B7" s="37" t="s">
        <v>92</v>
      </c>
      <c r="C7" s="31">
        <f>0.5*'Параметры транзисторов'!J3</f>
        <v>6</v>
      </c>
      <c r="D7" s="31" t="s">
        <v>19</v>
      </c>
      <c r="E7" s="32"/>
      <c r="O7" s="16">
        <f>O6*1000</f>
        <v>5</v>
      </c>
      <c r="P7" s="16" t="s">
        <v>59</v>
      </c>
    </row>
    <row r="8" spans="1:26" x14ac:dyDescent="0.25">
      <c r="B8" s="21"/>
    </row>
    <row r="11" spans="1:26" ht="18.600000000000001" thickBot="1" x14ac:dyDescent="0.4">
      <c r="B11" s="53" t="s">
        <v>66</v>
      </c>
      <c r="C11" s="54"/>
      <c r="D11" s="54"/>
      <c r="E11" s="55"/>
      <c r="L11" s="56" t="s">
        <v>69</v>
      </c>
      <c r="M11" s="57"/>
      <c r="N11" s="57"/>
      <c r="O11" s="58"/>
      <c r="R11" s="53" t="s">
        <v>76</v>
      </c>
      <c r="S11" s="54"/>
      <c r="T11" s="54"/>
      <c r="U11" s="55"/>
      <c r="X11" s="53" t="s">
        <v>88</v>
      </c>
      <c r="Y11" s="54"/>
      <c r="Z11" s="55"/>
    </row>
    <row r="12" spans="1:26" x14ac:dyDescent="0.25">
      <c r="B12" s="27"/>
      <c r="C12" s="25"/>
      <c r="D12" s="25"/>
      <c r="E12" s="28"/>
      <c r="G12" s="16" t="s">
        <v>80</v>
      </c>
      <c r="H12" s="16">
        <f>AVERAGE('Параметры транзисторов'!C3:D3)</f>
        <v>550</v>
      </c>
      <c r="I12" s="16" t="s">
        <v>23</v>
      </c>
      <c r="L12" s="27"/>
      <c r="M12" s="25"/>
      <c r="N12" s="25"/>
      <c r="O12" s="28"/>
      <c r="R12" s="27"/>
      <c r="S12" s="25"/>
      <c r="T12" s="25"/>
      <c r="U12" s="28"/>
      <c r="X12" s="27"/>
      <c r="Y12" s="25"/>
      <c r="Z12" s="28"/>
    </row>
    <row r="13" spans="1:26" ht="15.6" x14ac:dyDescent="0.3">
      <c r="B13" s="27"/>
      <c r="C13" s="25"/>
      <c r="D13" s="25"/>
      <c r="E13" s="28"/>
      <c r="L13" s="29" t="s">
        <v>61</v>
      </c>
      <c r="M13" s="25">
        <f>C4/'Параметры транзисторов'!E3</f>
        <v>0.20000000000000004</v>
      </c>
      <c r="N13" s="25" t="s">
        <v>19</v>
      </c>
      <c r="O13" s="28"/>
      <c r="R13" s="34" t="s">
        <v>77</v>
      </c>
      <c r="S13" s="25">
        <f>O6/M32</f>
        <v>0.22270722907665585</v>
      </c>
      <c r="T13" s="25"/>
      <c r="U13" s="28"/>
      <c r="W13" s="16" t="s">
        <v>14</v>
      </c>
      <c r="X13" s="29" t="s">
        <v>89</v>
      </c>
      <c r="Y13" s="24">
        <f>ROUND(50/C14,2)</f>
        <v>393.7</v>
      </c>
      <c r="Z13" s="28" t="s">
        <v>71</v>
      </c>
    </row>
    <row r="14" spans="1:26" x14ac:dyDescent="0.25">
      <c r="B14" s="29" t="s">
        <v>20</v>
      </c>
      <c r="C14" s="25">
        <f>ROUND((15*'Параметры транзисторов'!F3*'1. Расчёт АГ'!C4)/(15*'1. Расчёт АГ'!C4*'Параметры транзисторов'!I3+'Параметры транзисторов'!F3),3)</f>
        <v>0.127</v>
      </c>
      <c r="D14" s="25" t="s">
        <v>21</v>
      </c>
      <c r="E14" s="28"/>
      <c r="L14" s="29"/>
      <c r="M14" s="25"/>
      <c r="N14" s="25"/>
      <c r="O14" s="28"/>
      <c r="R14" s="27"/>
      <c r="S14" s="35">
        <f>S13</f>
        <v>0.22270722907665585</v>
      </c>
      <c r="T14" s="25"/>
      <c r="U14" s="28"/>
      <c r="X14" s="30"/>
      <c r="Y14" s="31"/>
      <c r="Z14" s="32"/>
    </row>
    <row r="15" spans="1:26" x14ac:dyDescent="0.25">
      <c r="B15" s="29" t="s">
        <v>93</v>
      </c>
      <c r="C15" s="25">
        <f>ROUND(C14*J25*(1-I23),4)</f>
        <v>4.9799999999999997E-2</v>
      </c>
      <c r="D15" s="25"/>
      <c r="E15" s="28"/>
      <c r="L15" s="29"/>
      <c r="M15" s="25"/>
      <c r="N15" s="25"/>
      <c r="O15" s="28"/>
      <c r="R15" s="27"/>
      <c r="S15" s="35"/>
      <c r="T15" s="25"/>
      <c r="U15" s="28"/>
      <c r="X15" s="25"/>
      <c r="Y15" s="25"/>
      <c r="Z15" s="25"/>
    </row>
    <row r="16" spans="1:26" x14ac:dyDescent="0.25">
      <c r="B16" s="27"/>
      <c r="C16" s="25"/>
      <c r="D16" s="25"/>
      <c r="E16" s="28"/>
      <c r="L16" s="29" t="s">
        <v>62</v>
      </c>
      <c r="M16" s="25">
        <f>1-(M13/(M13+C37))</f>
        <v>0.91374269005847952</v>
      </c>
      <c r="N16" s="25" t="s">
        <v>19</v>
      </c>
      <c r="O16" s="28"/>
      <c r="R16" s="30"/>
      <c r="S16" s="31"/>
      <c r="T16" s="31"/>
      <c r="U16" s="32"/>
    </row>
    <row r="17" spans="2:26" x14ac:dyDescent="0.25">
      <c r="B17" s="29" t="s">
        <v>22</v>
      </c>
      <c r="C17" s="25">
        <f>ROUND(AVERAGE('Параметры транзисторов'!C3:D3)/('1. Расчёт АГ'!C14*'Параметры транзисторов'!I3),0)</f>
        <v>72</v>
      </c>
      <c r="D17" s="25" t="s">
        <v>23</v>
      </c>
      <c r="E17" s="28"/>
      <c r="L17" s="29"/>
      <c r="M17" s="25"/>
      <c r="N17" s="25"/>
      <c r="O17" s="28"/>
    </row>
    <row r="18" spans="2:26" x14ac:dyDescent="0.25">
      <c r="B18" s="27"/>
      <c r="C18" s="25"/>
      <c r="D18" s="25"/>
      <c r="E18" s="28"/>
      <c r="L18" s="29" t="s">
        <v>63</v>
      </c>
      <c r="M18" s="25">
        <f>ROUND(M16*0.3,2)</f>
        <v>0.27</v>
      </c>
      <c r="N18" s="25"/>
      <c r="O18" s="28"/>
      <c r="X18" s="59" t="s">
        <v>90</v>
      </c>
      <c r="Y18" s="60"/>
      <c r="Z18" s="61"/>
    </row>
    <row r="19" spans="2:26" ht="16.2" thickBot="1" x14ac:dyDescent="0.35">
      <c r="B19" s="33" t="s">
        <v>24</v>
      </c>
      <c r="C19" s="31">
        <f>-ATAN('0. Задание'!C4/'1. Расчёт АГ'!C17)</f>
        <v>-5.5498505245716832E-2</v>
      </c>
      <c r="D19" s="31" t="s">
        <v>53</v>
      </c>
      <c r="E19" s="32"/>
      <c r="L19" s="29"/>
      <c r="M19" s="25"/>
      <c r="N19" s="25"/>
      <c r="O19" s="28"/>
      <c r="R19" s="56" t="s">
        <v>78</v>
      </c>
      <c r="S19" s="57"/>
      <c r="T19" s="57"/>
      <c r="U19" s="58"/>
      <c r="X19" s="62"/>
      <c r="Y19" s="63"/>
      <c r="Z19" s="64"/>
    </row>
    <row r="20" spans="2:26" x14ac:dyDescent="0.25">
      <c r="L20" s="33" t="s">
        <v>17</v>
      </c>
      <c r="M20" s="31">
        <f>ROUND(C37/M18,2)</f>
        <v>7.85</v>
      </c>
      <c r="N20" s="31" t="s">
        <v>64</v>
      </c>
      <c r="O20" s="32"/>
      <c r="R20" s="27"/>
      <c r="S20" s="25"/>
      <c r="T20" s="25"/>
      <c r="U20" s="28"/>
      <c r="X20" s="27"/>
      <c r="Y20" s="25"/>
      <c r="Z20" s="28"/>
    </row>
    <row r="21" spans="2:26" x14ac:dyDescent="0.25">
      <c r="R21" s="29" t="s">
        <v>79</v>
      </c>
      <c r="S21" s="25">
        <f>(C4*SQRT(1+(H12/C17)^2))/(C14*(1-I23))</f>
        <v>0.73086665259730854</v>
      </c>
      <c r="T21" s="25" t="s">
        <v>19</v>
      </c>
      <c r="U21" s="28"/>
      <c r="X21" s="29" t="s">
        <v>91</v>
      </c>
      <c r="Y21" s="25">
        <f>M20+C26*Y13</f>
        <v>8.9759820000000001</v>
      </c>
      <c r="Z21" s="28" t="s">
        <v>19</v>
      </c>
    </row>
    <row r="22" spans="2:26" ht="14.4" customHeight="1" x14ac:dyDescent="0.25">
      <c r="B22" s="59" t="s">
        <v>67</v>
      </c>
      <c r="C22" s="60"/>
      <c r="D22" s="60"/>
      <c r="E22" s="61"/>
      <c r="I22" s="16" t="s">
        <v>85</v>
      </c>
      <c r="R22" s="30"/>
      <c r="S22" s="31"/>
      <c r="T22" s="31"/>
      <c r="U22" s="32"/>
      <c r="X22" s="30"/>
      <c r="Y22" s="31"/>
      <c r="Z22" s="32"/>
    </row>
    <row r="23" spans="2:26" ht="18" x14ac:dyDescent="0.35">
      <c r="B23" s="71"/>
      <c r="C23" s="72"/>
      <c r="D23" s="72"/>
      <c r="E23" s="73"/>
      <c r="G23" s="22" t="s">
        <v>50</v>
      </c>
      <c r="H23" s="23">
        <v>80</v>
      </c>
      <c r="I23" s="36">
        <f>ROUND(COS(RADIANS(H23)),2)</f>
        <v>0.17</v>
      </c>
      <c r="J23" s="16">
        <v>80</v>
      </c>
      <c r="K23" s="16">
        <f>ROUND(COS(RADIANS(J23)),0)</f>
        <v>0</v>
      </c>
      <c r="L23" s="65" t="s">
        <v>70</v>
      </c>
      <c r="M23" s="66"/>
      <c r="N23" s="66"/>
      <c r="O23" s="67"/>
      <c r="P23" s="26"/>
    </row>
    <row r="24" spans="2:26" ht="15" customHeight="1" thickBot="1" x14ac:dyDescent="0.35">
      <c r="B24" s="62"/>
      <c r="C24" s="63"/>
      <c r="D24" s="63"/>
      <c r="E24" s="64"/>
      <c r="G24" s="22" t="s">
        <v>51</v>
      </c>
      <c r="H24" s="23">
        <f>0.286</f>
        <v>0.28599999999999998</v>
      </c>
      <c r="J24" s="16">
        <f>0.286</f>
        <v>0.28599999999999998</v>
      </c>
      <c r="L24" s="68"/>
      <c r="M24" s="69"/>
      <c r="N24" s="69"/>
      <c r="O24" s="70"/>
      <c r="R24" s="56" t="s">
        <v>83</v>
      </c>
      <c r="S24" s="57"/>
      <c r="T24" s="57"/>
      <c r="U24" s="58"/>
    </row>
    <row r="25" spans="2:26" x14ac:dyDescent="0.25">
      <c r="B25" s="27"/>
      <c r="C25" s="25"/>
      <c r="D25" s="25"/>
      <c r="E25" s="28"/>
      <c r="G25" s="22" t="s">
        <v>52</v>
      </c>
      <c r="H25" s="23">
        <f>0.472</f>
        <v>0.47199999999999998</v>
      </c>
      <c r="J25" s="16">
        <f>0.472</f>
        <v>0.47199999999999998</v>
      </c>
      <c r="L25" s="27"/>
      <c r="M25" s="25"/>
      <c r="N25" s="25"/>
      <c r="O25" s="28"/>
      <c r="R25" s="27"/>
      <c r="S25" s="25"/>
      <c r="T25" s="25"/>
      <c r="U25" s="28"/>
    </row>
    <row r="26" spans="2:26" x14ac:dyDescent="0.25">
      <c r="B26" s="29" t="s">
        <v>49</v>
      </c>
      <c r="C26" s="25">
        <f>H24*C4</f>
        <v>2.8600000000000001E-3</v>
      </c>
      <c r="D26" s="25" t="s">
        <v>55</v>
      </c>
      <c r="E26" s="28"/>
      <c r="G26" s="21"/>
      <c r="L26" s="29" t="s">
        <v>72</v>
      </c>
      <c r="M26" s="25">
        <f>C37/C29</f>
        <v>448.86526860097672</v>
      </c>
      <c r="N26" s="25" t="s">
        <v>71</v>
      </c>
      <c r="O26" s="28"/>
      <c r="R26" s="29" t="s">
        <v>84</v>
      </c>
      <c r="S26" s="25">
        <f>'Параметры транзисторов'!G3+'1. Расчёт АГ'!S21*I23</f>
        <v>0.37424733094154244</v>
      </c>
      <c r="T26" s="25" t="s">
        <v>19</v>
      </c>
      <c r="U26" s="28"/>
    </row>
    <row r="27" spans="2:26" x14ac:dyDescent="0.25">
      <c r="B27" s="29"/>
      <c r="C27" s="25">
        <f>C26*1000</f>
        <v>2.8600000000000003</v>
      </c>
      <c r="D27" s="25" t="s">
        <v>16</v>
      </c>
      <c r="E27" s="28"/>
      <c r="G27" s="21"/>
      <c r="L27" s="30"/>
      <c r="M27" s="31"/>
      <c r="N27" s="31"/>
      <c r="O27" s="32"/>
      <c r="R27" s="30"/>
      <c r="S27" s="31"/>
      <c r="T27" s="31"/>
      <c r="U27" s="32"/>
    </row>
    <row r="28" spans="2:26" x14ac:dyDescent="0.25">
      <c r="B28" s="27"/>
      <c r="C28" s="25"/>
      <c r="D28" s="25"/>
      <c r="E28" s="28"/>
    </row>
    <row r="29" spans="2:26" x14ac:dyDescent="0.25">
      <c r="B29" s="29" t="s">
        <v>54</v>
      </c>
      <c r="C29" s="25">
        <f>H25*C4</f>
        <v>4.7200000000000002E-3</v>
      </c>
      <c r="D29" s="25" t="s">
        <v>55</v>
      </c>
      <c r="E29" s="28"/>
    </row>
    <row r="30" spans="2:26" ht="18.600000000000001" thickBot="1" x14ac:dyDescent="0.4">
      <c r="B30" s="30"/>
      <c r="C30" s="31">
        <f>C29*1000</f>
        <v>4.7200000000000006</v>
      </c>
      <c r="D30" s="31" t="s">
        <v>16</v>
      </c>
      <c r="E30" s="32"/>
      <c r="L30" s="53" t="s">
        <v>73</v>
      </c>
      <c r="M30" s="54"/>
      <c r="N30" s="54"/>
      <c r="O30" s="55"/>
      <c r="R30" s="53" t="s">
        <v>86</v>
      </c>
      <c r="S30" s="54"/>
      <c r="T30" s="54"/>
      <c r="U30" s="55"/>
    </row>
    <row r="31" spans="2:26" x14ac:dyDescent="0.25">
      <c r="L31" s="27"/>
      <c r="M31" s="25"/>
      <c r="N31" s="25"/>
      <c r="O31" s="28"/>
      <c r="R31" s="27"/>
      <c r="S31" s="25"/>
      <c r="T31" s="25"/>
      <c r="U31" s="28"/>
    </row>
    <row r="32" spans="2:26" x14ac:dyDescent="0.25">
      <c r="L32" s="29" t="s">
        <v>74</v>
      </c>
      <c r="M32" s="25">
        <f>C26*ABS(M20)</f>
        <v>2.2450999999999999E-2</v>
      </c>
      <c r="N32" s="25" t="s">
        <v>58</v>
      </c>
      <c r="O32" s="28"/>
      <c r="R32" s="29" t="s">
        <v>87</v>
      </c>
      <c r="S32" s="25">
        <f>S21/C37</f>
        <v>0.34496906002592959</v>
      </c>
      <c r="T32" s="25"/>
      <c r="U32" s="28"/>
    </row>
    <row r="33" spans="2:21" ht="18" customHeight="1" x14ac:dyDescent="0.25">
      <c r="B33" s="65" t="s">
        <v>68</v>
      </c>
      <c r="C33" s="66"/>
      <c r="D33" s="66"/>
      <c r="E33" s="67"/>
      <c r="L33" s="29"/>
      <c r="M33" s="25">
        <f>M32*1000</f>
        <v>22.451000000000001</v>
      </c>
      <c r="N33" s="25" t="s">
        <v>59</v>
      </c>
      <c r="O33" s="28"/>
      <c r="R33" s="30"/>
      <c r="S33" s="31"/>
      <c r="T33" s="31"/>
      <c r="U33" s="32"/>
    </row>
    <row r="34" spans="2:21" ht="14.4" thickBot="1" x14ac:dyDescent="0.3">
      <c r="B34" s="68"/>
      <c r="C34" s="69"/>
      <c r="D34" s="69"/>
      <c r="E34" s="70"/>
      <c r="L34" s="29"/>
      <c r="M34" s="25"/>
      <c r="N34" s="25"/>
      <c r="O34" s="28"/>
    </row>
    <row r="35" spans="2:21" x14ac:dyDescent="0.25">
      <c r="B35" s="27"/>
      <c r="C35" s="25"/>
      <c r="D35" s="25"/>
      <c r="E35" s="28"/>
      <c r="L35" s="29" t="s">
        <v>75</v>
      </c>
      <c r="M35" s="25">
        <f>M32-O6</f>
        <v>1.7450999999999998E-2</v>
      </c>
      <c r="N35" s="25" t="s">
        <v>58</v>
      </c>
      <c r="O35" s="28"/>
    </row>
    <row r="36" spans="2:21" x14ac:dyDescent="0.25">
      <c r="B36" s="27"/>
      <c r="C36" s="25"/>
      <c r="D36" s="25"/>
      <c r="E36" s="28"/>
      <c r="L36" s="30"/>
      <c r="M36" s="31">
        <f>M35*1000</f>
        <v>17.450999999999997</v>
      </c>
      <c r="N36" s="31" t="s">
        <v>59</v>
      </c>
      <c r="O36" s="32"/>
    </row>
    <row r="37" spans="2:21" x14ac:dyDescent="0.25">
      <c r="B37" s="33" t="s">
        <v>60</v>
      </c>
      <c r="C37" s="31">
        <f>2*O6/C29</f>
        <v>2.1186440677966103</v>
      </c>
      <c r="D37" s="31" t="s">
        <v>19</v>
      </c>
      <c r="E37" s="32"/>
    </row>
  </sheetData>
  <mergeCells count="13">
    <mergeCell ref="B33:E34"/>
    <mergeCell ref="L11:O11"/>
    <mergeCell ref="L23:O24"/>
    <mergeCell ref="L30:O30"/>
    <mergeCell ref="B22:E24"/>
    <mergeCell ref="B2:E2"/>
    <mergeCell ref="B11:E11"/>
    <mergeCell ref="R11:U11"/>
    <mergeCell ref="R19:U19"/>
    <mergeCell ref="R24:U24"/>
    <mergeCell ref="R30:U30"/>
    <mergeCell ref="X11:Z11"/>
    <mergeCell ref="X18:Z19"/>
  </mergeCells>
  <conditionalFormatting sqref="Y21">
    <cfRule type="cellIs" dxfId="1" priority="1" operator="greaterThanOrEqual">
      <formula>$C$7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CEE7B9BA-4342-4475-953C-E0D9603537A1}">
            <xm:f>'Параметры транзисторов'!$M$3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F43B1-F87F-47E5-B843-E83429800AF2}">
  <dimension ref="B1:L15"/>
  <sheetViews>
    <sheetView workbookViewId="0">
      <selection activeCell="C30" sqref="C30"/>
    </sheetView>
  </sheetViews>
  <sheetFormatPr defaultRowHeight="13.8" x14ac:dyDescent="0.25"/>
  <cols>
    <col min="1" max="2" width="8.88671875" style="16"/>
    <col min="3" max="3" width="10.6640625" style="16" customWidth="1"/>
    <col min="4" max="16384" width="8.88671875" style="16"/>
  </cols>
  <sheetData>
    <row r="1" spans="2:12" ht="14.4" thickBot="1" x14ac:dyDescent="0.3"/>
    <row r="2" spans="2:12" x14ac:dyDescent="0.25">
      <c r="E2" s="74" t="s">
        <v>94</v>
      </c>
      <c r="F2" s="75"/>
      <c r="G2" s="75"/>
      <c r="H2" s="76"/>
    </row>
    <row r="3" spans="2:12" ht="14.4" thickBot="1" x14ac:dyDescent="0.3">
      <c r="E3" s="77"/>
      <c r="F3" s="78"/>
      <c r="G3" s="78"/>
      <c r="H3" s="79"/>
    </row>
    <row r="6" spans="2:12" x14ac:dyDescent="0.25">
      <c r="B6" s="38" t="s">
        <v>18</v>
      </c>
      <c r="C6" s="39">
        <v>0.05</v>
      </c>
      <c r="D6" s="39" t="s">
        <v>55</v>
      </c>
      <c r="E6" s="39"/>
      <c r="F6" s="40" t="s">
        <v>20</v>
      </c>
      <c r="G6" s="39">
        <v>0.127</v>
      </c>
      <c r="H6" s="39" t="s">
        <v>21</v>
      </c>
      <c r="I6" s="39"/>
      <c r="J6" s="40" t="s">
        <v>79</v>
      </c>
      <c r="K6" s="39">
        <f>(C6*(SQRT(1+('0. Задание'!C4/'1. Расчёт АГ'!C17)^2)))/('Пример расчёта'!G6*(1-'1. Расчёт АГ'!I23))</f>
        <v>0.47506973767300037</v>
      </c>
      <c r="L6" s="41" t="s">
        <v>19</v>
      </c>
    </row>
    <row r="7" spans="2:12" x14ac:dyDescent="0.25">
      <c r="B7" s="30"/>
      <c r="C7" s="31">
        <v>10.000000000000002</v>
      </c>
      <c r="D7" s="31" t="s">
        <v>16</v>
      </c>
      <c r="E7" s="31"/>
      <c r="F7" s="42" t="s">
        <v>93</v>
      </c>
      <c r="G7" s="31">
        <v>4.9799999999999997E-2</v>
      </c>
      <c r="H7" s="31" t="s">
        <v>21</v>
      </c>
      <c r="I7" s="31"/>
      <c r="J7" s="31"/>
      <c r="K7" s="31"/>
      <c r="L7" s="32"/>
    </row>
    <row r="8" spans="2:12" x14ac:dyDescent="0.25">
      <c r="F8" s="21"/>
    </row>
    <row r="9" spans="2:12" ht="14.4" thickBot="1" x14ac:dyDescent="0.3"/>
    <row r="10" spans="2:12" ht="13.8" customHeight="1" x14ac:dyDescent="0.25">
      <c r="D10" s="80" t="s">
        <v>95</v>
      </c>
      <c r="E10" s="81"/>
      <c r="F10" s="81"/>
      <c r="G10" s="81"/>
      <c r="H10" s="82"/>
    </row>
    <row r="11" spans="2:12" ht="13.8" customHeight="1" thickBot="1" x14ac:dyDescent="0.3">
      <c r="D11" s="83"/>
      <c r="E11" s="84"/>
      <c r="F11" s="84"/>
      <c r="G11" s="84"/>
      <c r="H11" s="85"/>
    </row>
    <row r="13" spans="2:12" x14ac:dyDescent="0.25">
      <c r="B13" s="16" t="s">
        <v>103</v>
      </c>
      <c r="C13" s="16">
        <f>K6/((SQRT((2*'0. Задание'!C13)/'0. Задание'!C10)) - 'Пример расчёта'!C6*'1. Расчёт АГ'!H25)</f>
        <v>-23.078569630278302</v>
      </c>
    </row>
    <row r="15" spans="2:12" x14ac:dyDescent="0.25">
      <c r="C15" s="16">
        <f>(K6)/((SQRT((2*'0. Задание'!C13)/'0. Задание'!C10))-C6*'1. Расчёт АГ'!H25)</f>
        <v>-23.078569630278302</v>
      </c>
    </row>
  </sheetData>
  <mergeCells count="2">
    <mergeCell ref="E2:H3"/>
    <mergeCell ref="D10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Параметры транзисторов</vt:lpstr>
      <vt:lpstr>0. Задание</vt:lpstr>
      <vt:lpstr>1. Расчёт АГ</vt:lpstr>
      <vt:lpstr>Пример расчёта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2015-06-05T18:19:34Z</dcterms:created>
  <dcterms:modified xsi:type="dcterms:W3CDTF">2024-11-10T06:55:04Z</dcterms:modified>
</cp:coreProperties>
</file>