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bailey/Downloads/"/>
    </mc:Choice>
  </mc:AlternateContent>
  <xr:revisionPtr revIDLastSave="0" documentId="8_{24F24385-5CC6-0243-94F4-8EE847BE2A29}" xr6:coauthVersionLast="47" xr6:coauthVersionMax="47" xr10:uidLastSave="{00000000-0000-0000-0000-000000000000}"/>
  <bookViews>
    <workbookView xWindow="35640" yWindow="500" windowWidth="32560" windowHeight="26720" activeTab="1" xr2:uid="{8C9BED60-B808-B647-9306-F4C9D3F9D8C6}"/>
  </bookViews>
  <sheets>
    <sheet name="Electricity" sheetId="1" r:id="rId1"/>
    <sheet name="Natural G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2" l="1"/>
  <c r="T14" i="2"/>
  <c r="Q14" i="2"/>
  <c r="O14" i="2"/>
  <c r="E14" i="2"/>
  <c r="F14" i="2" s="1"/>
  <c r="Z13" i="2"/>
  <c r="Y13" i="2"/>
  <c r="X13" i="2"/>
  <c r="Q13" i="2"/>
  <c r="O13" i="2"/>
  <c r="E13" i="2"/>
  <c r="F13" i="2" s="1"/>
  <c r="Z12" i="2"/>
  <c r="Q12" i="2"/>
  <c r="O12" i="2"/>
  <c r="E12" i="2"/>
  <c r="F12" i="2" s="1"/>
  <c r="Z11" i="2"/>
  <c r="T11" i="2"/>
  <c r="Q11" i="2"/>
  <c r="O11" i="2"/>
  <c r="E11" i="2"/>
  <c r="F11" i="2" s="1"/>
  <c r="Z10" i="2"/>
  <c r="Y10" i="2"/>
  <c r="X10" i="2"/>
  <c r="W10" i="2"/>
  <c r="T10" i="2"/>
  <c r="S10" i="2"/>
  <c r="N10" i="2"/>
  <c r="V10" i="2" s="1"/>
  <c r="F10" i="2"/>
  <c r="J10" i="2" s="1"/>
  <c r="E10" i="2"/>
  <c r="Z9" i="2"/>
  <c r="Y9" i="2"/>
  <c r="X9" i="2"/>
  <c r="W9" i="2"/>
  <c r="V9" i="2"/>
  <c r="U9" i="2"/>
  <c r="T9" i="2"/>
  <c r="S9" i="2"/>
  <c r="Q9" i="2"/>
  <c r="N9" i="2"/>
  <c r="E9" i="2"/>
  <c r="F9" i="2" s="1"/>
  <c r="Z8" i="2"/>
  <c r="Y8" i="2"/>
  <c r="X8" i="2"/>
  <c r="W8" i="2"/>
  <c r="T8" i="2"/>
  <c r="S8" i="2"/>
  <c r="N8" i="2"/>
  <c r="V8" i="2" s="1"/>
  <c r="F8" i="2"/>
  <c r="J8" i="2" s="1"/>
  <c r="E8" i="2"/>
  <c r="Z7" i="2"/>
  <c r="Y7" i="2"/>
  <c r="X7" i="2"/>
  <c r="W7" i="2"/>
  <c r="V7" i="2"/>
  <c r="U7" i="2"/>
  <c r="T7" i="2"/>
  <c r="S7" i="2"/>
  <c r="Q7" i="2"/>
  <c r="P7" i="2"/>
  <c r="N7" i="2"/>
  <c r="E7" i="2"/>
  <c r="F7" i="2" s="1"/>
  <c r="Z6" i="2"/>
  <c r="Y6" i="2"/>
  <c r="X6" i="2"/>
  <c r="P6" i="2"/>
  <c r="W6" i="2" s="1"/>
  <c r="N6" i="2"/>
  <c r="Q6" i="2" s="1"/>
  <c r="E6" i="2"/>
  <c r="F6" i="2" s="1"/>
  <c r="Z5" i="2"/>
  <c r="Y5" i="2"/>
  <c r="X5" i="2"/>
  <c r="W5" i="2"/>
  <c r="V5" i="2"/>
  <c r="U5" i="2"/>
  <c r="T5" i="2"/>
  <c r="P5" i="2"/>
  <c r="S5" i="2" s="1"/>
  <c r="N5" i="2"/>
  <c r="Q5" i="2" s="1"/>
  <c r="E5" i="2"/>
  <c r="F5" i="2" s="1"/>
  <c r="Z4" i="2"/>
  <c r="P4" i="2"/>
  <c r="Y4" i="2" s="1"/>
  <c r="N4" i="2"/>
  <c r="Q4" i="2" s="1"/>
  <c r="E4" i="2"/>
  <c r="F4" i="2" s="1"/>
  <c r="Z3" i="2"/>
  <c r="Y3" i="2"/>
  <c r="X3" i="2"/>
  <c r="W3" i="2"/>
  <c r="V3" i="2"/>
  <c r="P3" i="2"/>
  <c r="T3" i="2" s="1"/>
  <c r="N3" i="2"/>
  <c r="U3" i="2" s="1"/>
  <c r="F3" i="2"/>
  <c r="E3" i="2"/>
  <c r="Z2" i="2"/>
  <c r="Y2" i="2"/>
  <c r="X2" i="2"/>
  <c r="W2" i="2"/>
  <c r="V2" i="2"/>
  <c r="U2" i="2"/>
  <c r="T2" i="2"/>
  <c r="S2" i="2"/>
  <c r="Q2" i="2"/>
  <c r="N2" i="2"/>
  <c r="F2" i="2"/>
  <c r="J2" i="2" s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N6" i="1" s="1"/>
  <c r="M4" i="1"/>
  <c r="M6" i="1" s="1"/>
  <c r="L4" i="1"/>
  <c r="L6" i="1" s="1"/>
  <c r="K4" i="1"/>
  <c r="K6" i="1" s="1"/>
  <c r="J4" i="1"/>
  <c r="J6" i="1" s="1"/>
  <c r="I4" i="1"/>
  <c r="I6" i="1" s="1"/>
  <c r="H4" i="1"/>
  <c r="H6" i="1" s="1"/>
  <c r="G4" i="1"/>
  <c r="G6" i="1" s="1"/>
  <c r="F4" i="1"/>
  <c r="F6" i="1" s="1"/>
  <c r="E4" i="1"/>
  <c r="E6" i="1" s="1"/>
  <c r="D4" i="1"/>
  <c r="D6" i="1" s="1"/>
  <c r="C4" i="1"/>
  <c r="C6" i="1" s="1"/>
  <c r="B4" i="1"/>
  <c r="B6" i="1" s="1"/>
  <c r="J9" i="2" l="1"/>
  <c r="K9" i="2" s="1"/>
  <c r="H9" i="2"/>
  <c r="J11" i="2"/>
  <c r="H11" i="2"/>
  <c r="J6" i="2"/>
  <c r="J12" i="2"/>
  <c r="H12" i="2"/>
  <c r="H3" i="2"/>
  <c r="J5" i="2"/>
  <c r="J14" i="2"/>
  <c r="H14" i="2"/>
  <c r="J4" i="2"/>
  <c r="H4" i="2"/>
  <c r="J7" i="2"/>
  <c r="H7" i="2" s="1"/>
  <c r="J13" i="2"/>
  <c r="H13" i="2" s="1"/>
  <c r="S4" i="2"/>
  <c r="T4" i="2"/>
  <c r="S6" i="2"/>
  <c r="Q10" i="2"/>
  <c r="H2" i="2"/>
  <c r="K2" i="2" s="1"/>
  <c r="S3" i="2"/>
  <c r="U6" i="2"/>
  <c r="H8" i="2"/>
  <c r="K8" i="2" s="1"/>
  <c r="H10" i="2"/>
  <c r="K10" i="2" s="1"/>
  <c r="J3" i="2"/>
  <c r="U4" i="2"/>
  <c r="Q8" i="2"/>
  <c r="V4" i="2"/>
  <c r="W4" i="2"/>
  <c r="X4" i="2"/>
  <c r="V6" i="2"/>
  <c r="U8" i="2"/>
  <c r="U10" i="2"/>
  <c r="Q3" i="2"/>
  <c r="T6" i="2"/>
  <c r="K4" i="2" l="1"/>
  <c r="K11" i="2"/>
  <c r="K7" i="2"/>
  <c r="K14" i="2"/>
  <c r="K3" i="2"/>
  <c r="H5" i="2"/>
  <c r="K5" i="2" s="1"/>
  <c r="K12" i="2"/>
  <c r="H6" i="2"/>
  <c r="K6" i="2" s="1"/>
  <c r="K13" i="2"/>
</calcChain>
</file>

<file path=xl/sharedStrings.xml><?xml version="1.0" encoding="utf-8"?>
<sst xmlns="http://schemas.openxmlformats.org/spreadsheetml/2006/main" count="47" uniqueCount="45">
  <si>
    <t>Start Date</t>
  </si>
  <si>
    <t>End Date</t>
  </si>
  <si>
    <t>Days</t>
  </si>
  <si>
    <t>On-Peak kWh</t>
  </si>
  <si>
    <t>Off-Peak kWh</t>
  </si>
  <si>
    <t>On-Peak Demand kW</t>
  </si>
  <si>
    <t>Off-Peak Demand kW</t>
  </si>
  <si>
    <t>On-Peak Demand kVA</t>
  </si>
  <si>
    <t>Off Peak Demand kVA</t>
  </si>
  <si>
    <t>Power Factor</t>
  </si>
  <si>
    <t>Generation Charge</t>
  </si>
  <si>
    <t>Prod/Trans Dmd Chrg (Billed by kVA)</t>
  </si>
  <si>
    <t>Distribution Dmd Chrg (Billed by kVA)</t>
  </si>
  <si>
    <t>Prod/Trans CTA Dmd Chrg</t>
  </si>
  <si>
    <t>Electric system improve</t>
  </si>
  <si>
    <t>Customer Service Charges</t>
  </si>
  <si>
    <t>Other Fees</t>
  </si>
  <si>
    <t>Gross Earnings Tax Credit</t>
  </si>
  <si>
    <t>CT Sales Tax Supplier</t>
  </si>
  <si>
    <t>CT Sales Tax Delivery</t>
  </si>
  <si>
    <t>Total Charges</t>
  </si>
  <si>
    <t>Invoice Date</t>
  </si>
  <si>
    <t>Volume (MMBtu)</t>
  </si>
  <si>
    <t>Unit Price</t>
  </si>
  <si>
    <t>Gas</t>
  </si>
  <si>
    <t>Sales Tax Rate</t>
  </si>
  <si>
    <t>Sales Tax</t>
  </si>
  <si>
    <t>Gross Reciepts Rate</t>
  </si>
  <si>
    <t>Gross Rciepts</t>
  </si>
  <si>
    <t>Total</t>
  </si>
  <si>
    <t>Customer charge</t>
  </si>
  <si>
    <t>Demand metering charge</t>
  </si>
  <si>
    <t>Consumption (CCF)</t>
  </si>
  <si>
    <t>MMBtu to CCF</t>
  </si>
  <si>
    <t>Demand (CCF)</t>
  </si>
  <si>
    <t>Delivery charge</t>
  </si>
  <si>
    <t>Customer credit</t>
  </si>
  <si>
    <t>Demand charge</t>
  </si>
  <si>
    <t>Distribution management</t>
  </si>
  <si>
    <t>Conservation adjust</t>
  </si>
  <si>
    <t>TSC shifted</t>
  </si>
  <si>
    <t>TSC on-site demand</t>
  </si>
  <si>
    <t>Decoupling adjust</t>
  </si>
  <si>
    <t>System expansion adjust</t>
  </si>
  <si>
    <t>Total charge (include delivery charge)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</si>
</sst>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  <numFmt numFmtId="166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17" fontId="2" fillId="2" borderId="0" xfId="0" applyNumberFormat="1" applyFont="1" applyFill="1"/>
    <xf numFmtId="14" fontId="0" fillId="0" borderId="0" xfId="0" applyNumberFormat="1"/>
    <xf numFmtId="14" fontId="0" fillId="3" borderId="0" xfId="0" applyNumberFormat="1" applyFill="1"/>
    <xf numFmtId="2" fontId="0" fillId="0" borderId="0" xfId="0" applyNumberFormat="1"/>
    <xf numFmtId="44" fontId="0" fillId="0" borderId="0" xfId="1" applyFont="1"/>
    <xf numFmtId="164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1" fontId="0" fillId="0" borderId="0" xfId="1" applyNumberFormat="1" applyFon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1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64" formatCode="_(&quot;$&quot;* #,##0_);_(&quot;$&quot;* \(#,##0\);_(&quot;$&quot;* &quot;-&quot;??_);_(@_)"/>
    </dxf>
    <dxf>
      <fill>
        <patternFill patternType="solid">
          <fgColor indexed="64"/>
          <bgColor theme="9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A62E7-782D-DE41-A7DE-9BC0220C0BDF}" name="Table1" displayName="Table1" ref="A1:Z14" totalsRowShown="0">
  <autoFilter ref="A1:Z14" xr:uid="{7A0A62E7-782D-DE41-A7DE-9BC0220C0BDF}"/>
  <tableColumns count="26">
    <tableColumn id="1" xr3:uid="{25CDF56F-A169-7640-9919-92EB826509B7}" name="Invoice Date"/>
    <tableColumn id="2" xr3:uid="{2450E4EF-7D62-A947-A07A-CA14BBBD0E2E}" name="Start Date"/>
    <tableColumn id="3" xr3:uid="{908EB329-F31B-FB4C-A655-E249C0FD5EDA}" name="End Date"/>
    <tableColumn id="4" xr3:uid="{C07F57BA-81D1-1646-A3AD-8F165DAA4606}" name="Volume (MMBtu)" dataDxfId="9"/>
    <tableColumn id="5" xr3:uid="{E99D1E9A-C020-834F-9054-0C87C527A4DD}" name="Unit Price" dataDxfId="8" dataCellStyle="Currency"/>
    <tableColumn id="6" xr3:uid="{CFBBD1BD-AEAA-9D4E-B416-741B5BD47E06}" name="Gas" dataDxfId="7" dataCellStyle="Currency">
      <calculatedColumnFormula>D2*E2</calculatedColumnFormula>
    </tableColumn>
    <tableColumn id="7" xr3:uid="{6F9FEAC1-CC0B-6A43-B4FC-F2493876F944}" name="Sales Tax Rate"/>
    <tableColumn id="8" xr3:uid="{26ECE27E-8F6B-2842-8521-EA776C77462C}" name="Sales Tax" dataCellStyle="Currency">
      <calculatedColumnFormula>(F2 + J2)*G2</calculatedColumnFormula>
    </tableColumn>
    <tableColumn id="9" xr3:uid="{D1A9EAF3-C866-4544-89DF-5298BD82812E}" name="Gross Reciepts Rate"/>
    <tableColumn id="10" xr3:uid="{87370F3A-063B-F748-B3D2-4DB9A4D55195}" name="Gross Rciepts" dataCellStyle="Currency">
      <calculatedColumnFormula>I2*F2</calculatedColumnFormula>
    </tableColumn>
    <tableColumn id="11" xr3:uid="{2DC5DBF0-4D51-014A-8B4A-BE038B89AEBF}" name="Total" dataCellStyle="Currency">
      <calculatedColumnFormula>SUM(J2,H2,F2)</calculatedColumnFormula>
    </tableColumn>
    <tableColumn id="22" xr3:uid="{2546CED5-DF36-BC4F-A8BD-40383D95BA5B}" name="Customer charge" dataDxfId="6" dataCellStyle="Currency"/>
    <tableColumn id="21" xr3:uid="{0A5C5E98-E398-FA4D-AC13-42541749110B}" name="Demand metering charge" dataDxfId="5" dataCellStyle="Currency"/>
    <tableColumn id="23" xr3:uid="{E5042FD9-6EC8-E543-B852-78F7029D9516}" name="Consumption (CCF)" dataDxfId="4" dataCellStyle="Currency"/>
    <tableColumn id="25" xr3:uid="{29C4E334-9175-BD41-8ED7-35B9616F03F1}" name="MMBtu to CCF" dataDxfId="3" dataCellStyle="Currency">
      <calculatedColumnFormula>Table1[[#This Row],[Consumption (CCF)]]/Table1[[#This Row],[Volume (MMBtu)]]</calculatedColumnFormula>
    </tableColumn>
    <tableColumn id="24" xr3:uid="{284E7651-0241-C24F-9184-023D8B322DEC}" name="Demand (CCF)" dataDxfId="2" dataCellStyle="Currency"/>
    <tableColumn id="12" xr3:uid="{B20A35DC-4B45-C245-B50B-42492969862E}" name="Delivery charge" dataDxfId="1" dataCellStyle="Currency">
      <calculatedColumnFormula>243+168.99</calculatedColumnFormula>
    </tableColumn>
    <tableColumn id="13" xr3:uid="{AE67264C-2BB6-FF49-B535-0409FE775A26}" name="Customer credit" dataCellStyle="Currency"/>
    <tableColumn id="14" xr3:uid="{FEF62E8A-CA04-A443-ACBB-56D387B67834}" name="Demand charge" dataCellStyle="Currency"/>
    <tableColumn id="15" xr3:uid="{3CC686ED-ADFF-DC4E-8495-A100D48A50F6}" name="Distribution management" dataCellStyle="Currency"/>
    <tableColumn id="16" xr3:uid="{D1EDEF1F-62A4-2041-9381-13FDFD4F7609}" name="Conservation adjust" dataCellStyle="Currency"/>
    <tableColumn id="17" xr3:uid="{941328D7-54C9-AE42-AA06-670272C4AFB8}" name="TSC shifted" dataCellStyle="Currency"/>
    <tableColumn id="18" xr3:uid="{EEDA828F-23EC-B14B-A59C-864D0F052F58}" name="TSC on-site demand" dataCellStyle="Currency"/>
    <tableColumn id="19" xr3:uid="{3C8387B0-253A-2B4F-997E-DBE1200BD710}" name="Decoupling adjust" dataCellStyle="Currency"/>
    <tableColumn id="20" xr3:uid="{BA6F92F8-C4E9-5441-B66B-452D57BFB96A}" name="System expansion adjust" dataCellStyle="Currency"/>
    <tableColumn id="28" xr3:uid="{670AA208-9946-DE48-A940-82DC183DE7A7}" name="Total charge (include delivery charge)" dataDxfId="0" dataCellStyle="Currency">
      <calculatedColumnFormula>9.02*Table1[[#This Row],[Volume (MMBtu)]]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3CE8-6D3A-624D-AA67-E9846C7B8433}">
  <dimension ref="A1:N22"/>
  <sheetViews>
    <sheetView zoomScale="143" workbookViewId="0">
      <selection activeCell="A16" sqref="A16"/>
    </sheetView>
  </sheetViews>
  <sheetFormatPr baseColWidth="10" defaultRowHeight="16" x14ac:dyDescent="0.2"/>
  <cols>
    <col min="1" max="1" width="32.33203125" customWidth="1"/>
  </cols>
  <sheetData>
    <row r="1" spans="1:14" x14ac:dyDescent="0.2">
      <c r="A1" s="1"/>
      <c r="B1" s="2">
        <v>44652</v>
      </c>
      <c r="C1" s="2">
        <v>44682</v>
      </c>
      <c r="D1" s="2">
        <v>44713</v>
      </c>
      <c r="E1" s="2">
        <v>44743</v>
      </c>
      <c r="F1" s="2">
        <v>44774</v>
      </c>
      <c r="G1" s="2">
        <v>44805</v>
      </c>
      <c r="H1" s="2">
        <v>44835</v>
      </c>
      <c r="I1" s="2">
        <v>44866</v>
      </c>
      <c r="J1" s="2">
        <v>44896</v>
      </c>
      <c r="K1" s="2">
        <v>44927</v>
      </c>
      <c r="L1" s="2">
        <v>44958</v>
      </c>
      <c r="M1" s="2">
        <v>44986</v>
      </c>
      <c r="N1" s="2">
        <v>45017</v>
      </c>
    </row>
    <row r="2" spans="1:14" x14ac:dyDescent="0.2">
      <c r="A2" t="s">
        <v>0</v>
      </c>
      <c r="B2">
        <v>44657</v>
      </c>
      <c r="C2">
        <v>44690</v>
      </c>
      <c r="D2">
        <v>44720</v>
      </c>
      <c r="E2">
        <v>44750</v>
      </c>
      <c r="F2">
        <v>44782</v>
      </c>
      <c r="G2">
        <v>44812</v>
      </c>
      <c r="H2">
        <v>44840</v>
      </c>
      <c r="I2">
        <v>44869</v>
      </c>
      <c r="J2">
        <v>44902</v>
      </c>
      <c r="K2">
        <v>44935</v>
      </c>
      <c r="L2">
        <v>44963</v>
      </c>
      <c r="M2">
        <v>44992</v>
      </c>
      <c r="N2">
        <v>45021</v>
      </c>
    </row>
    <row r="3" spans="1:14" x14ac:dyDescent="0.2">
      <c r="A3" t="s">
        <v>1</v>
      </c>
      <c r="B3">
        <v>44690</v>
      </c>
      <c r="C3">
        <v>44720</v>
      </c>
      <c r="D3">
        <v>44750</v>
      </c>
      <c r="E3">
        <v>44782</v>
      </c>
      <c r="F3">
        <v>44812</v>
      </c>
      <c r="G3">
        <v>44840</v>
      </c>
      <c r="H3">
        <v>44869</v>
      </c>
      <c r="I3">
        <v>44902</v>
      </c>
      <c r="J3">
        <v>44935</v>
      </c>
      <c r="K3">
        <v>44963</v>
      </c>
      <c r="L3">
        <v>44992</v>
      </c>
      <c r="M3">
        <v>45021</v>
      </c>
      <c r="N3">
        <v>45051</v>
      </c>
    </row>
    <row r="4" spans="1:14" x14ac:dyDescent="0.2">
      <c r="A4" t="s">
        <v>2</v>
      </c>
      <c r="B4">
        <f>-_xlfn.DAYS(B2,B3)</f>
        <v>33</v>
      </c>
      <c r="C4">
        <f t="shared" ref="C4:N4" si="0">-_xlfn.DAYS(C2,C3)</f>
        <v>30</v>
      </c>
      <c r="D4">
        <f t="shared" si="0"/>
        <v>30</v>
      </c>
      <c r="E4">
        <f t="shared" si="0"/>
        <v>32</v>
      </c>
      <c r="F4">
        <f t="shared" si="0"/>
        <v>30</v>
      </c>
      <c r="G4">
        <f t="shared" si="0"/>
        <v>28</v>
      </c>
      <c r="H4">
        <f t="shared" si="0"/>
        <v>29</v>
      </c>
      <c r="I4">
        <f t="shared" si="0"/>
        <v>33</v>
      </c>
      <c r="J4">
        <f t="shared" si="0"/>
        <v>33</v>
      </c>
      <c r="K4">
        <f t="shared" si="0"/>
        <v>28</v>
      </c>
      <c r="L4">
        <f t="shared" si="0"/>
        <v>29</v>
      </c>
      <c r="M4">
        <f t="shared" si="0"/>
        <v>29</v>
      </c>
      <c r="N4">
        <f t="shared" si="0"/>
        <v>30</v>
      </c>
    </row>
    <row r="5" spans="1:14" x14ac:dyDescent="0.2">
      <c r="A5" t="s">
        <v>3</v>
      </c>
      <c r="B5">
        <f>B3*1200</f>
        <v>53628000</v>
      </c>
      <c r="C5">
        <f t="shared" ref="C5:N6" si="1">C3*1200</f>
        <v>53664000</v>
      </c>
      <c r="D5">
        <f t="shared" si="1"/>
        <v>53700000</v>
      </c>
      <c r="E5">
        <f t="shared" si="1"/>
        <v>53738400</v>
      </c>
      <c r="F5">
        <f t="shared" si="1"/>
        <v>53774400</v>
      </c>
      <c r="G5">
        <f t="shared" si="1"/>
        <v>53808000</v>
      </c>
      <c r="H5">
        <f t="shared" si="1"/>
        <v>53842800</v>
      </c>
      <c r="I5">
        <f t="shared" si="1"/>
        <v>53882400</v>
      </c>
      <c r="J5">
        <f t="shared" si="1"/>
        <v>53922000</v>
      </c>
      <c r="K5">
        <f t="shared" si="1"/>
        <v>53955600</v>
      </c>
      <c r="L5">
        <f t="shared" si="1"/>
        <v>53990400</v>
      </c>
      <c r="M5">
        <f t="shared" si="1"/>
        <v>54025200</v>
      </c>
      <c r="N5">
        <f t="shared" si="1"/>
        <v>54061200</v>
      </c>
    </row>
    <row r="6" spans="1:14" x14ac:dyDescent="0.2">
      <c r="A6" t="s">
        <v>4</v>
      </c>
      <c r="B6">
        <f>B4*1200</f>
        <v>39600</v>
      </c>
      <c r="C6">
        <f t="shared" si="1"/>
        <v>36000</v>
      </c>
      <c r="D6">
        <f t="shared" si="1"/>
        <v>36000</v>
      </c>
      <c r="E6">
        <f t="shared" si="1"/>
        <v>38400</v>
      </c>
      <c r="F6">
        <f t="shared" si="1"/>
        <v>36000</v>
      </c>
      <c r="G6">
        <f t="shared" si="1"/>
        <v>33600</v>
      </c>
      <c r="H6">
        <f t="shared" si="1"/>
        <v>34800</v>
      </c>
      <c r="I6">
        <f t="shared" si="1"/>
        <v>39600</v>
      </c>
      <c r="J6">
        <f t="shared" si="1"/>
        <v>39600</v>
      </c>
      <c r="K6">
        <f t="shared" si="1"/>
        <v>33600</v>
      </c>
      <c r="L6">
        <f t="shared" si="1"/>
        <v>34800</v>
      </c>
      <c r="M6">
        <f t="shared" si="1"/>
        <v>34800</v>
      </c>
      <c r="N6">
        <f t="shared" si="1"/>
        <v>36000</v>
      </c>
    </row>
    <row r="7" spans="1:14" x14ac:dyDescent="0.2">
      <c r="A7" t="s">
        <v>5</v>
      </c>
      <c r="B7">
        <v>850.8</v>
      </c>
      <c r="C7">
        <v>866.4</v>
      </c>
      <c r="D7">
        <v>913.2</v>
      </c>
      <c r="E7">
        <v>992.4</v>
      </c>
      <c r="F7">
        <v>1027.2</v>
      </c>
      <c r="G7">
        <v>890.4</v>
      </c>
      <c r="H7">
        <v>878.4</v>
      </c>
      <c r="I7">
        <v>928.8</v>
      </c>
      <c r="J7">
        <v>924</v>
      </c>
      <c r="K7">
        <v>897.6</v>
      </c>
      <c r="L7">
        <v>938.4</v>
      </c>
      <c r="M7">
        <v>973.2</v>
      </c>
      <c r="N7">
        <v>920.4</v>
      </c>
    </row>
    <row r="8" spans="1:14" x14ac:dyDescent="0.2">
      <c r="A8" t="s">
        <v>6</v>
      </c>
      <c r="B8">
        <v>890.4</v>
      </c>
      <c r="C8">
        <v>814.8</v>
      </c>
      <c r="D8">
        <v>864</v>
      </c>
      <c r="E8">
        <v>928.8</v>
      </c>
      <c r="F8">
        <v>1042.8</v>
      </c>
      <c r="G8">
        <v>787.2</v>
      </c>
      <c r="H8">
        <v>831.6</v>
      </c>
      <c r="I8">
        <v>942</v>
      </c>
      <c r="J8">
        <v>850.8</v>
      </c>
      <c r="K8">
        <v>943.2</v>
      </c>
      <c r="L8">
        <v>938.4</v>
      </c>
      <c r="M8">
        <v>975.6</v>
      </c>
      <c r="N8">
        <v>862.8</v>
      </c>
    </row>
    <row r="9" spans="1:14" x14ac:dyDescent="0.2">
      <c r="A9" t="s">
        <v>7</v>
      </c>
      <c r="B9">
        <v>1515.6</v>
      </c>
      <c r="C9">
        <v>1592.4</v>
      </c>
      <c r="D9">
        <v>1569.6</v>
      </c>
      <c r="E9">
        <v>1692</v>
      </c>
      <c r="F9">
        <v>1898.4</v>
      </c>
      <c r="G9">
        <v>1360.8</v>
      </c>
      <c r="H9">
        <v>1376.4</v>
      </c>
      <c r="I9">
        <v>1495.2</v>
      </c>
      <c r="J9">
        <v>1768.8</v>
      </c>
      <c r="K9">
        <v>1506</v>
      </c>
      <c r="L9">
        <v>1470</v>
      </c>
      <c r="M9">
        <v>1528.8</v>
      </c>
      <c r="N9">
        <v>1539.6</v>
      </c>
    </row>
    <row r="10" spans="1:14" x14ac:dyDescent="0.2">
      <c r="A10" t="s">
        <v>8</v>
      </c>
      <c r="B10">
        <v>1521.6</v>
      </c>
      <c r="C10">
        <v>1500</v>
      </c>
      <c r="D10">
        <v>1534.8</v>
      </c>
      <c r="E10">
        <v>1623.6</v>
      </c>
      <c r="F10">
        <v>1753.2</v>
      </c>
      <c r="G10">
        <v>1249.2</v>
      </c>
      <c r="H10">
        <v>1378.8</v>
      </c>
      <c r="I10">
        <v>1524</v>
      </c>
      <c r="J10">
        <v>1357.2</v>
      </c>
      <c r="K10">
        <v>1396.8</v>
      </c>
      <c r="L10">
        <v>1468.8</v>
      </c>
      <c r="M10">
        <v>1528.8</v>
      </c>
      <c r="N10">
        <v>1484.4</v>
      </c>
    </row>
    <row r="11" spans="1:14" x14ac:dyDescent="0.2">
      <c r="A11" t="s">
        <v>9</v>
      </c>
      <c r="B11">
        <v>0.57326766923678285</v>
      </c>
      <c r="C11">
        <v>0.54364220045214773</v>
      </c>
      <c r="D11">
        <v>0.57237203903087519</v>
      </c>
      <c r="E11">
        <v>0.57929345347612082</v>
      </c>
      <c r="F11">
        <v>0.56794265742858352</v>
      </c>
      <c r="G11">
        <v>0.64224214608460528</v>
      </c>
      <c r="H11">
        <v>0.62065986646968707</v>
      </c>
      <c r="I11">
        <v>0.61964901859177712</v>
      </c>
      <c r="J11">
        <v>0.57463346397983561</v>
      </c>
      <c r="K11">
        <v>0.63563683410687144</v>
      </c>
      <c r="L11">
        <v>0.63862811791383223</v>
      </c>
      <c r="M11">
        <v>0.63736263736263732</v>
      </c>
      <c r="N11">
        <v>0.58953128120922127</v>
      </c>
    </row>
    <row r="12" spans="1:14" x14ac:dyDescent="0.2">
      <c r="A12" t="s">
        <v>10</v>
      </c>
      <c r="B12">
        <v>17448.21</v>
      </c>
      <c r="C12">
        <v>26930.400000000001</v>
      </c>
      <c r="D12">
        <v>24578.400000000001</v>
      </c>
      <c r="E12">
        <v>28023.84</v>
      </c>
      <c r="F12">
        <v>28862.16</v>
      </c>
      <c r="G12">
        <v>19520.88</v>
      </c>
      <c r="H12">
        <v>22993.919999999998</v>
      </c>
      <c r="I12">
        <v>27544.799999999999</v>
      </c>
      <c r="J12">
        <v>22993.919999999998</v>
      </c>
      <c r="K12">
        <v>24311.279999999999</v>
      </c>
      <c r="L12">
        <v>26706.48</v>
      </c>
      <c r="M12">
        <v>27904.080000000002</v>
      </c>
      <c r="N12">
        <v>27305.279999999999</v>
      </c>
    </row>
    <row r="13" spans="1:14" x14ac:dyDescent="0.2">
      <c r="A13" t="s">
        <v>11</v>
      </c>
      <c r="B13">
        <v>13313.81</v>
      </c>
      <c r="C13">
        <v>15239.27</v>
      </c>
      <c r="D13">
        <v>15021.07</v>
      </c>
      <c r="E13">
        <v>16192.44</v>
      </c>
      <c r="F13">
        <v>18167.690000000002</v>
      </c>
      <c r="G13">
        <v>13022.86</v>
      </c>
      <c r="H13">
        <v>13172.15</v>
      </c>
      <c r="I13">
        <v>14309.06</v>
      </c>
      <c r="J13">
        <v>16927.419999999998</v>
      </c>
      <c r="K13">
        <v>14412.42</v>
      </c>
      <c r="L13">
        <v>14067.9</v>
      </c>
      <c r="M13">
        <v>14630.62</v>
      </c>
      <c r="N13">
        <v>14733.97</v>
      </c>
    </row>
    <row r="14" spans="1:14" x14ac:dyDescent="0.2">
      <c r="A14" t="s">
        <v>12</v>
      </c>
      <c r="B14">
        <v>9581.1</v>
      </c>
      <c r="C14">
        <v>9581.1</v>
      </c>
      <c r="D14">
        <v>9581.1</v>
      </c>
      <c r="E14">
        <v>9581.1</v>
      </c>
      <c r="F14">
        <v>10346.280000000001</v>
      </c>
      <c r="G14">
        <v>10346.280000000001</v>
      </c>
      <c r="H14">
        <v>10346.280000000001</v>
      </c>
      <c r="I14">
        <v>10346.280000000001</v>
      </c>
      <c r="J14">
        <v>10346.280000000001</v>
      </c>
      <c r="K14">
        <v>10346.280000000001</v>
      </c>
      <c r="L14">
        <v>10346.280000000001</v>
      </c>
      <c r="M14">
        <v>10346.280000000001</v>
      </c>
      <c r="N14">
        <v>10346.280000000001</v>
      </c>
    </row>
    <row r="15" spans="1:14" x14ac:dyDescent="0.2">
      <c r="A15" t="s">
        <v>13</v>
      </c>
      <c r="B15">
        <v>-468.47</v>
      </c>
      <c r="C15">
        <v>-191.09</v>
      </c>
      <c r="D15">
        <v>-188.35</v>
      </c>
      <c r="E15">
        <v>-203.04</v>
      </c>
      <c r="F15">
        <v>-227.81</v>
      </c>
      <c r="G15">
        <v>-163.30000000000001</v>
      </c>
      <c r="H15">
        <v>-165.17</v>
      </c>
      <c r="I15">
        <v>-179.42</v>
      </c>
      <c r="J15">
        <v>-212.26</v>
      </c>
      <c r="K15">
        <v>-180.72</v>
      </c>
      <c r="L15">
        <v>-176.4</v>
      </c>
      <c r="M15">
        <v>-183.46</v>
      </c>
      <c r="N15">
        <v>-184.75</v>
      </c>
    </row>
    <row r="16" spans="1:14" x14ac:dyDescent="0.2">
      <c r="A16" t="s">
        <v>14</v>
      </c>
      <c r="B16">
        <v>549.79999999999995</v>
      </c>
      <c r="C16">
        <v>1318.5</v>
      </c>
      <c r="D16">
        <v>1318.5</v>
      </c>
      <c r="E16">
        <v>1318.5</v>
      </c>
      <c r="F16">
        <v>1418.73</v>
      </c>
      <c r="G16">
        <v>1404.82</v>
      </c>
      <c r="H16">
        <v>1404.82</v>
      </c>
      <c r="I16">
        <v>1404.82</v>
      </c>
      <c r="J16">
        <v>1404.82</v>
      </c>
      <c r="K16">
        <v>1404.82</v>
      </c>
      <c r="L16">
        <v>1404.82</v>
      </c>
      <c r="M16">
        <v>1404.82</v>
      </c>
      <c r="N16">
        <v>1404.82</v>
      </c>
    </row>
    <row r="17" spans="1:14" x14ac:dyDescent="0.2">
      <c r="A17" t="s">
        <v>15</v>
      </c>
      <c r="B17">
        <v>1100</v>
      </c>
      <c r="C17">
        <v>1100</v>
      </c>
      <c r="D17">
        <v>1100</v>
      </c>
      <c r="E17">
        <v>1100</v>
      </c>
      <c r="F17">
        <v>1100</v>
      </c>
      <c r="G17">
        <v>1100</v>
      </c>
      <c r="H17">
        <v>1100</v>
      </c>
      <c r="I17">
        <v>1100</v>
      </c>
      <c r="J17">
        <v>1100</v>
      </c>
      <c r="K17">
        <v>1100</v>
      </c>
      <c r="L17">
        <v>1100</v>
      </c>
      <c r="M17">
        <v>1100</v>
      </c>
      <c r="N17">
        <v>1100</v>
      </c>
    </row>
    <row r="18" spans="1:14" x14ac:dyDescent="0.2">
      <c r="A18" t="s">
        <v>16</v>
      </c>
      <c r="B18">
        <v>5513.630000000001</v>
      </c>
      <c r="C18">
        <v>5538.5799999999981</v>
      </c>
      <c r="D18">
        <v>5080.91</v>
      </c>
      <c r="E18">
        <v>5616.6399999999994</v>
      </c>
      <c r="F18">
        <v>4971.07</v>
      </c>
      <c r="G18">
        <v>1733.0099999999984</v>
      </c>
      <c r="H18">
        <v>2041.3499999999985</v>
      </c>
      <c r="I18">
        <v>2445.3599999999969</v>
      </c>
      <c r="J18">
        <v>1093.0600000000013</v>
      </c>
      <c r="K18">
        <v>-1555.6899999999987</v>
      </c>
      <c r="L18">
        <v>-1897.4099999999999</v>
      </c>
      <c r="M18">
        <v>-1742.2000000000007</v>
      </c>
      <c r="N18">
        <v>-1727.239999999998</v>
      </c>
    </row>
    <row r="19" spans="1:14" x14ac:dyDescent="0.2">
      <c r="A19" t="s">
        <v>17</v>
      </c>
      <c r="B19">
        <v>-2260.35</v>
      </c>
      <c r="C19">
        <v>-2506.0100000000002</v>
      </c>
      <c r="D19">
        <v>-2469.62</v>
      </c>
      <c r="E19">
        <v>-2590.5300000000002</v>
      </c>
      <c r="F19">
        <v>-2836.21</v>
      </c>
      <c r="G19">
        <v>-2332.71</v>
      </c>
      <c r="H19">
        <v>-2371.4499999999998</v>
      </c>
      <c r="I19">
        <v>-2501.2199999999998</v>
      </c>
      <c r="J19">
        <v>-2686.65</v>
      </c>
      <c r="K19">
        <v>-2485.4899999999998</v>
      </c>
      <c r="L19">
        <v>-2476.46</v>
      </c>
      <c r="M19">
        <v>-2538.7600000000002</v>
      </c>
      <c r="N19">
        <v>-2542.75</v>
      </c>
    </row>
    <row r="20" spans="1:14" x14ac:dyDescent="0.2">
      <c r="A20" t="s">
        <v>18</v>
      </c>
      <c r="B20">
        <v>1523.39</v>
      </c>
      <c r="C20">
        <v>1710.08</v>
      </c>
      <c r="D20">
        <v>1560.73</v>
      </c>
      <c r="E20">
        <v>1779.51</v>
      </c>
      <c r="F20">
        <v>1832.74</v>
      </c>
      <c r="G20">
        <v>1239.58</v>
      </c>
      <c r="H20">
        <v>1460.11</v>
      </c>
      <c r="I20">
        <v>1749.09</v>
      </c>
      <c r="J20">
        <v>1460.11</v>
      </c>
      <c r="K20">
        <v>1543.77</v>
      </c>
      <c r="L20">
        <v>1695.86</v>
      </c>
      <c r="M20">
        <v>1771.91</v>
      </c>
      <c r="N20">
        <v>1733.89</v>
      </c>
    </row>
    <row r="21" spans="1:14" x14ac:dyDescent="0.2">
      <c r="A21" t="s">
        <v>19</v>
      </c>
      <c r="B21">
        <v>1747.66</v>
      </c>
      <c r="C21">
        <v>1925.01</v>
      </c>
      <c r="D21">
        <v>1882.44</v>
      </c>
      <c r="E21">
        <v>1984.9</v>
      </c>
      <c r="F21">
        <v>2101</v>
      </c>
      <c r="G21">
        <v>1585.02</v>
      </c>
      <c r="H21">
        <v>1611.5</v>
      </c>
      <c r="I21">
        <v>1700.2</v>
      </c>
      <c r="J21">
        <v>1766.74</v>
      </c>
      <c r="K21">
        <v>1453.62</v>
      </c>
      <c r="L21">
        <v>1410.89</v>
      </c>
      <c r="M21">
        <v>1452.07</v>
      </c>
      <c r="N21">
        <v>1459.25</v>
      </c>
    </row>
    <row r="22" spans="1:14" x14ac:dyDescent="0.2">
      <c r="A22" t="s">
        <v>20</v>
      </c>
      <c r="B22">
        <v>48048.78</v>
      </c>
      <c r="C22">
        <v>60645.840000000004</v>
      </c>
      <c r="D22">
        <v>57465.18</v>
      </c>
      <c r="E22">
        <v>62803.360000000001</v>
      </c>
      <c r="F22">
        <v>65735.649999999994</v>
      </c>
      <c r="G22">
        <v>47456.44</v>
      </c>
      <c r="H22">
        <v>51593.509999999995</v>
      </c>
      <c r="I22">
        <v>57918.97</v>
      </c>
      <c r="J22">
        <v>54193.440000000002</v>
      </c>
      <c r="K22">
        <v>50350.29</v>
      </c>
      <c r="L22">
        <v>52181.96</v>
      </c>
      <c r="M22">
        <v>54145.36</v>
      </c>
      <c r="N22">
        <v>53628.75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F072-5584-5E43-AA47-7058208399E7}">
  <dimension ref="A1:Z14"/>
  <sheetViews>
    <sheetView tabSelected="1" workbookViewId="0">
      <selection activeCell="J20" sqref="J20"/>
    </sheetView>
  </sheetViews>
  <sheetFormatPr baseColWidth="10" defaultRowHeight="16" x14ac:dyDescent="0.2"/>
  <sheetData>
    <row r="1" spans="1:26" x14ac:dyDescent="0.2">
      <c r="A1" t="s">
        <v>21</v>
      </c>
      <c r="B1" t="s">
        <v>0</v>
      </c>
      <c r="C1" t="s">
        <v>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</row>
    <row r="2" spans="1:26" x14ac:dyDescent="0.2">
      <c r="A2" s="3">
        <v>44698</v>
      </c>
      <c r="B2" s="4">
        <v>44664</v>
      </c>
      <c r="C2" s="3">
        <v>44691</v>
      </c>
      <c r="D2" s="5">
        <v>238.73</v>
      </c>
      <c r="E2" s="6">
        <v>6.07</v>
      </c>
      <c r="F2" s="7">
        <f>D2*E2</f>
        <v>1449.0911000000001</v>
      </c>
      <c r="G2" s="8">
        <v>6.3500000000000001E-2</v>
      </c>
      <c r="H2" s="6">
        <f>(F2 + J2)*G2</f>
        <v>96.857394033110012</v>
      </c>
      <c r="I2" s="8">
        <v>5.2600000000000001E-2</v>
      </c>
      <c r="J2" s="6">
        <f>I2*F2</f>
        <v>76.222191860000009</v>
      </c>
      <c r="K2" s="6">
        <f>SUM(J2,H2,F2)</f>
        <v>1622.1706858931102</v>
      </c>
      <c r="L2" s="6">
        <v>244</v>
      </c>
      <c r="M2" s="6">
        <v>5.92</v>
      </c>
      <c r="N2" s="9">
        <f>Table1[[#This Row],[Volume (MMBtu)]]*Table1[[#This Row],[MMBtu to CCF]]</f>
        <v>2273.1631870000001</v>
      </c>
      <c r="O2" s="10">
        <v>9.5219000000000005</v>
      </c>
      <c r="P2" s="10">
        <v>522</v>
      </c>
      <c r="Q2" s="6">
        <f>Table1[[#This Row],[Consumption (CCF)]]*0.0972</f>
        <v>220.95146177640001</v>
      </c>
      <c r="R2" s="6">
        <v>0</v>
      </c>
      <c r="S2" s="6">
        <f>Table1[[#This Row],[Demand (CCF)]]*1.507</f>
        <v>786.654</v>
      </c>
      <c r="T2" s="6">
        <f>-0.0245*Table1[[#This Row],[Demand (CCF)]]</f>
        <v>-12.789</v>
      </c>
      <c r="U2" s="6">
        <f>0.0432*Table1[[#This Row],[Consumption (CCF)]]</f>
        <v>98.200649678400012</v>
      </c>
      <c r="V2" s="6">
        <f>0.0528*Table1[[#This Row],[Consumption (CCF)]]</f>
        <v>120.02301627360001</v>
      </c>
      <c r="W2" s="6">
        <f>0.015*Table1[[#This Row],[Demand (CCF)]]</f>
        <v>7.83</v>
      </c>
      <c r="X2" s="6">
        <f>0.0259*Table1[[#This Row],[Consumption (CCF)]]</f>
        <v>58.874926543299999</v>
      </c>
      <c r="Y2" s="6">
        <f>0.0775*Table1[[#This Row],[Demand (CCF)]]</f>
        <v>40.454999999999998</v>
      </c>
      <c r="Z2" s="6">
        <f>9.02*Table1[[#This Row],[Volume (MMBtu)]]</f>
        <v>2153.3445999999999</v>
      </c>
    </row>
    <row r="3" spans="1:26" x14ac:dyDescent="0.2">
      <c r="A3" s="3">
        <v>44735</v>
      </c>
      <c r="B3" s="3">
        <v>44692</v>
      </c>
      <c r="C3" s="3">
        <v>44722</v>
      </c>
      <c r="D3" s="5">
        <v>50.48</v>
      </c>
      <c r="E3" s="6">
        <f>$E$2</f>
        <v>6.07</v>
      </c>
      <c r="F3" s="7">
        <f t="shared" ref="F3:F14" si="0">D3*E3</f>
        <v>306.41359999999997</v>
      </c>
      <c r="G3" s="8">
        <v>6.3500000000000001E-2</v>
      </c>
      <c r="H3" s="6">
        <f t="shared" ref="H3:H14" si="1">(F3 + J3)*G3</f>
        <v>20.480715665359998</v>
      </c>
      <c r="I3" s="8">
        <v>5.2600000000000001E-2</v>
      </c>
      <c r="J3" s="6">
        <f t="shared" ref="J3:J13" si="2">I3*F3</f>
        <v>16.117355359999998</v>
      </c>
      <c r="K3" s="6">
        <f t="shared" ref="K3:K14" si="3">SUM(J3,H3,F3)</f>
        <v>343.01167102535999</v>
      </c>
      <c r="L3" s="6">
        <v>244</v>
      </c>
      <c r="M3" s="6">
        <v>5.92</v>
      </c>
      <c r="N3" s="9">
        <f>Table1[[#This Row],[Volume (MMBtu)]]*Table1[[#This Row],[MMBtu to CCF]]</f>
        <v>480.66551199999998</v>
      </c>
      <c r="O3" s="10">
        <v>9.5219000000000005</v>
      </c>
      <c r="P3" s="11">
        <f>522*Table1[[#This Row],[Volume (MMBtu)]]/D14</f>
        <v>184.05084864147517</v>
      </c>
      <c r="Q3" s="6">
        <f>Table1[[#This Row],[Consumption (CCF)]]*0.0972</f>
        <v>46.720687766399998</v>
      </c>
      <c r="R3" s="6">
        <v>0</v>
      </c>
      <c r="S3" s="6">
        <f>Table1[[#This Row],[Demand (CCF)]]*1.507</f>
        <v>277.36462890270309</v>
      </c>
      <c r="T3" s="6">
        <f>-0.0245*Table1[[#This Row],[Demand (CCF)]]</f>
        <v>-4.5092457917161415</v>
      </c>
      <c r="U3" s="6">
        <f>0.0432*Table1[[#This Row],[Consumption (CCF)]]</f>
        <v>20.764750118399999</v>
      </c>
      <c r="V3" s="6">
        <f>0.0528*Table1[[#This Row],[Consumption (CCF)]]</f>
        <v>25.379139033599998</v>
      </c>
      <c r="W3" s="6">
        <f>0.015*Table1[[#This Row],[Demand (CCF)]]</f>
        <v>2.7607627296221273</v>
      </c>
      <c r="X3" s="6">
        <f>0.0259*Table1[[#This Row],[Consumption (CCF)]]</f>
        <v>12.4492367608</v>
      </c>
      <c r="Y3" s="6">
        <f>0.0775*Table1[[#This Row],[Demand (CCF)]]</f>
        <v>14.263940769714326</v>
      </c>
      <c r="Z3" s="6">
        <f>9.02*Table1[[#This Row],[Volume (MMBtu)]]</f>
        <v>455.32959999999997</v>
      </c>
    </row>
    <row r="4" spans="1:26" x14ac:dyDescent="0.2">
      <c r="A4" s="3">
        <v>44760</v>
      </c>
      <c r="B4" s="3">
        <v>44723</v>
      </c>
      <c r="C4" s="3">
        <v>44754</v>
      </c>
      <c r="D4" s="5">
        <v>37.03</v>
      </c>
      <c r="E4" s="6">
        <f t="shared" ref="E4:E14" si="4">$E$2</f>
        <v>6.07</v>
      </c>
      <c r="F4" s="7">
        <f t="shared" si="0"/>
        <v>224.77210000000002</v>
      </c>
      <c r="G4" s="8">
        <v>6.3500000000000001E-2</v>
      </c>
      <c r="H4" s="6">
        <f t="shared" si="1"/>
        <v>15.023789641210001</v>
      </c>
      <c r="I4" s="8">
        <v>5.2600000000000001E-2</v>
      </c>
      <c r="J4" s="6">
        <f t="shared" si="2"/>
        <v>11.823012460000001</v>
      </c>
      <c r="K4" s="6">
        <f t="shared" si="3"/>
        <v>251.61890210121004</v>
      </c>
      <c r="L4" s="6">
        <v>244</v>
      </c>
      <c r="M4" s="6">
        <v>5.92</v>
      </c>
      <c r="N4" s="9">
        <f>Table1[[#This Row],[Volume (MMBtu)]]*Table1[[#This Row],[MMBtu to CCF]]</f>
        <v>352.59595700000006</v>
      </c>
      <c r="O4" s="10">
        <v>9.5219000000000005</v>
      </c>
      <c r="P4" s="11">
        <f>522*Table1[[#This Row],[Volume (MMBtu)]]/D14</f>
        <v>135.01194384298387</v>
      </c>
      <c r="Q4" s="6">
        <f>Table1[[#This Row],[Consumption (CCF)]]*0.0972</f>
        <v>34.272327020400006</v>
      </c>
      <c r="R4" s="6">
        <v>0</v>
      </c>
      <c r="S4" s="6">
        <f>Table1[[#This Row],[Demand (CCF)]]*1.507</f>
        <v>203.46299937137667</v>
      </c>
      <c r="T4" s="6">
        <f>-0.0245*Table1[[#This Row],[Demand (CCF)]]</f>
        <v>-3.3077926241531048</v>
      </c>
      <c r="U4" s="6">
        <f>0.0432*Table1[[#This Row],[Consumption (CCF)]]</f>
        <v>15.232145342400003</v>
      </c>
      <c r="V4" s="6">
        <f>0.0528*Table1[[#This Row],[Consumption (CCF)]]</f>
        <v>18.617066529600002</v>
      </c>
      <c r="W4" s="6">
        <f>0.015*Table1[[#This Row],[Demand (CCF)]]</f>
        <v>2.0251791576447578</v>
      </c>
      <c r="X4" s="6">
        <f>0.0259*Table1[[#This Row],[Consumption (CCF)]]</f>
        <v>9.132235286300002</v>
      </c>
      <c r="Y4" s="6">
        <f>0.0775*Table1[[#This Row],[Demand (CCF)]]</f>
        <v>10.463425647831249</v>
      </c>
      <c r="Z4" s="6">
        <f>9.02*Table1[[#This Row],[Volume (MMBtu)]]</f>
        <v>334.01060000000001</v>
      </c>
    </row>
    <row r="5" spans="1:26" x14ac:dyDescent="0.2">
      <c r="A5" s="3">
        <v>44788</v>
      </c>
      <c r="B5" s="3">
        <v>44755</v>
      </c>
      <c r="C5" s="3">
        <v>44783</v>
      </c>
      <c r="D5" s="5">
        <v>18.670000000000002</v>
      </c>
      <c r="E5" s="6">
        <f t="shared" si="4"/>
        <v>6.07</v>
      </c>
      <c r="F5" s="7">
        <f t="shared" si="0"/>
        <v>113.32690000000001</v>
      </c>
      <c r="G5" s="8">
        <v>6.3500000000000001E-2</v>
      </c>
      <c r="H5" s="6">
        <f t="shared" si="1"/>
        <v>7.5747813286900012</v>
      </c>
      <c r="I5" s="8">
        <v>5.2600000000000001E-2</v>
      </c>
      <c r="J5" s="6">
        <f t="shared" si="2"/>
        <v>5.9609949400000009</v>
      </c>
      <c r="K5" s="6">
        <f t="shared" si="3"/>
        <v>126.86267626869001</v>
      </c>
      <c r="L5" s="6">
        <v>244</v>
      </c>
      <c r="M5" s="6">
        <v>5.92</v>
      </c>
      <c r="N5" s="9">
        <f>Table1[[#This Row],[Volume (MMBtu)]]*Table1[[#This Row],[MMBtu to CCF]]</f>
        <v>177.77387300000004</v>
      </c>
      <c r="O5" s="10">
        <v>9.5219000000000005</v>
      </c>
      <c r="P5" s="11">
        <f>522*Table1[[#This Row],[Volume (MMBtu)]]/D14</f>
        <v>68.071104281623263</v>
      </c>
      <c r="Q5" s="6">
        <f>Table1[[#This Row],[Consumption (CCF)]]*0.0972</f>
        <v>17.279620455600003</v>
      </c>
      <c r="R5" s="6">
        <v>0</v>
      </c>
      <c r="S5" s="6">
        <f>Table1[[#This Row],[Demand (CCF)]]*1.507</f>
        <v>102.58315415240625</v>
      </c>
      <c r="T5" s="6">
        <f>-0.0245*Table1[[#This Row],[Demand (CCF)]]</f>
        <v>-1.6677420548997701</v>
      </c>
      <c r="U5" s="6">
        <f>0.0432*Table1[[#This Row],[Consumption (CCF)]]</f>
        <v>7.679831313600002</v>
      </c>
      <c r="V5" s="6">
        <f>0.0528*Table1[[#This Row],[Consumption (CCF)]]</f>
        <v>9.3864604944000014</v>
      </c>
      <c r="W5" s="6">
        <f>0.015*Table1[[#This Row],[Demand (CCF)]]</f>
        <v>1.0210665642243488</v>
      </c>
      <c r="X5" s="6">
        <f>0.0259*Table1[[#This Row],[Consumption (CCF)]]</f>
        <v>4.6043433107000009</v>
      </c>
      <c r="Y5" s="6">
        <f>0.0775*Table1[[#This Row],[Demand (CCF)]]</f>
        <v>5.2755105818258032</v>
      </c>
      <c r="Z5" s="6">
        <f>9.02*Table1[[#This Row],[Volume (MMBtu)]]</f>
        <v>168.4034</v>
      </c>
    </row>
    <row r="6" spans="1:26" x14ac:dyDescent="0.2">
      <c r="A6" s="3">
        <v>44823</v>
      </c>
      <c r="B6" s="3">
        <v>44784</v>
      </c>
      <c r="C6" s="3">
        <v>44817</v>
      </c>
      <c r="D6" s="5">
        <v>40.28</v>
      </c>
      <c r="E6" s="6">
        <f t="shared" si="4"/>
        <v>6.07</v>
      </c>
      <c r="F6" s="7">
        <f t="shared" si="0"/>
        <v>244.49960000000002</v>
      </c>
      <c r="G6" s="8">
        <v>6.3500000000000001E-2</v>
      </c>
      <c r="H6" s="6">
        <f t="shared" si="1"/>
        <v>16.342377713960001</v>
      </c>
      <c r="I6" s="8">
        <v>5.2600000000000001E-2</v>
      </c>
      <c r="J6" s="6">
        <f t="shared" si="2"/>
        <v>12.860678960000001</v>
      </c>
      <c r="K6" s="6">
        <f t="shared" si="3"/>
        <v>273.70265667396001</v>
      </c>
      <c r="L6" s="6">
        <v>244</v>
      </c>
      <c r="M6" s="6">
        <v>5.92</v>
      </c>
      <c r="N6" s="9">
        <f>Table1[[#This Row],[Volume (MMBtu)]]*Table1[[#This Row],[MMBtu to CCF]]</f>
        <v>383.54213200000004</v>
      </c>
      <c r="O6" s="10">
        <v>9.5219000000000005</v>
      </c>
      <c r="P6" s="11">
        <f>522*Table1[[#This Row],[Volume (MMBtu)]]/D14</f>
        <v>146.86149332960818</v>
      </c>
      <c r="Q6" s="6">
        <f>Table1[[#This Row],[Consumption (CCF)]]*0.0972</f>
        <v>37.2802952304</v>
      </c>
      <c r="R6" s="6">
        <v>0</v>
      </c>
      <c r="S6" s="6">
        <f>Table1[[#This Row],[Demand (CCF)]]*1.507</f>
        <v>221.32027044771951</v>
      </c>
      <c r="T6" s="6">
        <f>-0.0245*Table1[[#This Row],[Demand (CCF)]]</f>
        <v>-3.5981065865754007</v>
      </c>
      <c r="U6" s="6">
        <f>0.0432*Table1[[#This Row],[Consumption (CCF)]]</f>
        <v>16.569020102400003</v>
      </c>
      <c r="V6" s="6">
        <f>0.0528*Table1[[#This Row],[Consumption (CCF)]]</f>
        <v>20.251024569600002</v>
      </c>
      <c r="W6" s="6">
        <f>0.015*Table1[[#This Row],[Demand (CCF)]]</f>
        <v>2.2029223999441228</v>
      </c>
      <c r="X6" s="6">
        <f>0.0259*Table1[[#This Row],[Consumption (CCF)]]</f>
        <v>9.9337412188000016</v>
      </c>
      <c r="Y6" s="6">
        <f>0.0775*Table1[[#This Row],[Demand (CCF)]]</f>
        <v>11.381765733044634</v>
      </c>
      <c r="Z6" s="6">
        <f>9.02*Table1[[#This Row],[Volume (MMBtu)]]</f>
        <v>363.32560000000001</v>
      </c>
    </row>
    <row r="7" spans="1:26" x14ac:dyDescent="0.2">
      <c r="A7" s="3">
        <v>44851</v>
      </c>
      <c r="B7" s="3">
        <v>44818</v>
      </c>
      <c r="C7" s="3">
        <v>44845</v>
      </c>
      <c r="D7" s="5">
        <v>83.16</v>
      </c>
      <c r="E7" s="6">
        <f t="shared" si="4"/>
        <v>6.07</v>
      </c>
      <c r="F7" s="7">
        <f t="shared" si="0"/>
        <v>504.78120000000001</v>
      </c>
      <c r="G7" s="8">
        <v>6.3500000000000001E-2</v>
      </c>
      <c r="H7" s="6">
        <f t="shared" si="1"/>
        <v>33.739625886120002</v>
      </c>
      <c r="I7" s="8">
        <v>5.2600000000000001E-2</v>
      </c>
      <c r="J7" s="6">
        <f t="shared" si="2"/>
        <v>26.551491120000001</v>
      </c>
      <c r="K7" s="6">
        <f t="shared" si="3"/>
        <v>565.07231700611999</v>
      </c>
      <c r="L7" s="6">
        <v>244</v>
      </c>
      <c r="M7" s="6">
        <v>5.92</v>
      </c>
      <c r="N7" s="9">
        <f>Table1[[#This Row],[Volume (MMBtu)]]*Table1[[#This Row],[MMBtu to CCF]]</f>
        <v>791.84120400000006</v>
      </c>
      <c r="O7" s="10">
        <v>9.5219000000000005</v>
      </c>
      <c r="P7" s="11">
        <f>522*Table1[[#This Row],[Volume (MMBtu)]]/D14</f>
        <v>303.20262624851574</v>
      </c>
      <c r="Q7" s="6">
        <f>Table1[[#This Row],[Consumption (CCF)]]*0.0972</f>
        <v>76.966965028800004</v>
      </c>
      <c r="R7" s="6">
        <v>0</v>
      </c>
      <c r="S7" s="6">
        <f>Table1[[#This Row],[Demand (CCF)]]*1.507</f>
        <v>456.9263577565132</v>
      </c>
      <c r="T7" s="6">
        <f>-0.0245*Table1[[#This Row],[Demand (CCF)]]</f>
        <v>-7.4284643430886357</v>
      </c>
      <c r="U7" s="6">
        <f>0.0432*Table1[[#This Row],[Consumption (CCF)]]</f>
        <v>34.207540012800003</v>
      </c>
      <c r="V7" s="6">
        <f>0.0528*Table1[[#This Row],[Consumption (CCF)]]</f>
        <v>41.809215571200006</v>
      </c>
      <c r="W7" s="6">
        <f>0.015*Table1[[#This Row],[Demand (CCF)]]</f>
        <v>4.5480393937277359</v>
      </c>
      <c r="X7" s="6">
        <f>0.0259*Table1[[#This Row],[Consumption (CCF)]]</f>
        <v>20.508687183600003</v>
      </c>
      <c r="Y7" s="6">
        <f>0.0775*Table1[[#This Row],[Demand (CCF)]]</f>
        <v>23.498203534259972</v>
      </c>
      <c r="Z7" s="6">
        <f>9.02*Table1[[#This Row],[Volume (MMBtu)]]</f>
        <v>750.1031999999999</v>
      </c>
    </row>
    <row r="8" spans="1:26" x14ac:dyDescent="0.2">
      <c r="A8" s="3">
        <v>44879</v>
      </c>
      <c r="B8" s="3">
        <v>44846</v>
      </c>
      <c r="C8" s="3">
        <v>44875</v>
      </c>
      <c r="D8" s="5">
        <v>198.04</v>
      </c>
      <c r="E8" s="6">
        <f t="shared" si="4"/>
        <v>6.07</v>
      </c>
      <c r="F8" s="7">
        <f t="shared" si="0"/>
        <v>1202.1028000000001</v>
      </c>
      <c r="G8" s="8">
        <v>6.3500000000000001E-2</v>
      </c>
      <c r="H8" s="6">
        <f t="shared" si="1"/>
        <v>80.348671362280001</v>
      </c>
      <c r="I8" s="8">
        <v>5.2600000000000001E-2</v>
      </c>
      <c r="J8" s="6">
        <f t="shared" si="2"/>
        <v>63.230607280000008</v>
      </c>
      <c r="K8" s="6">
        <f t="shared" si="3"/>
        <v>1345.6820786422802</v>
      </c>
      <c r="L8" s="6">
        <v>244</v>
      </c>
      <c r="M8" s="6">
        <v>5.92</v>
      </c>
      <c r="N8" s="9">
        <f>Table1[[#This Row],[Volume (MMBtu)]]*Table1[[#This Row],[MMBtu to CCF]]</f>
        <v>1885.7170759999999</v>
      </c>
      <c r="O8" s="10">
        <v>9.5219000000000005</v>
      </c>
      <c r="P8" s="10">
        <v>522</v>
      </c>
      <c r="Q8" s="6">
        <f>Table1[[#This Row],[Consumption (CCF)]]*0.0972</f>
        <v>183.29169978719997</v>
      </c>
      <c r="R8" s="6">
        <v>0</v>
      </c>
      <c r="S8" s="6">
        <f>Table1[[#This Row],[Demand (CCF)]]*1.507</f>
        <v>786.654</v>
      </c>
      <c r="T8" s="6">
        <f>-0.0245*Table1[[#This Row],[Demand (CCF)]]</f>
        <v>-12.789</v>
      </c>
      <c r="U8" s="6">
        <f>0.0432*Table1[[#This Row],[Consumption (CCF)]]</f>
        <v>81.462977683199995</v>
      </c>
      <c r="V8" s="6">
        <f>0.0528*Table1[[#This Row],[Consumption (CCF)]]</f>
        <v>99.565861612799992</v>
      </c>
      <c r="W8" s="6">
        <f>0.015*Table1[[#This Row],[Demand (CCF)]]</f>
        <v>7.83</v>
      </c>
      <c r="X8" s="6">
        <f>0.0259*Table1[[#This Row],[Consumption (CCF)]]</f>
        <v>48.840072268399993</v>
      </c>
      <c r="Y8" s="6">
        <f>0.0775*Table1[[#This Row],[Demand (CCF)]]</f>
        <v>40.454999999999998</v>
      </c>
      <c r="Z8" s="6">
        <f>9.02*Table1[[#This Row],[Volume (MMBtu)]]</f>
        <v>1786.3207999999997</v>
      </c>
    </row>
    <row r="9" spans="1:26" x14ac:dyDescent="0.2">
      <c r="A9" s="3">
        <v>44916</v>
      </c>
      <c r="B9" s="3">
        <v>44876</v>
      </c>
      <c r="C9" s="3">
        <v>44907</v>
      </c>
      <c r="D9" s="5">
        <v>652.27</v>
      </c>
      <c r="E9" s="6">
        <f t="shared" si="4"/>
        <v>6.07</v>
      </c>
      <c r="F9" s="7">
        <f t="shared" si="0"/>
        <v>3959.2789000000002</v>
      </c>
      <c r="G9" s="8">
        <v>6.3500000000000001E-2</v>
      </c>
      <c r="H9" s="6">
        <f t="shared" si="1"/>
        <v>264.63859760389005</v>
      </c>
      <c r="I9" s="8">
        <v>5.2600000000000001E-2</v>
      </c>
      <c r="J9" s="6">
        <f t="shared" si="2"/>
        <v>208.25807014000003</v>
      </c>
      <c r="K9" s="6">
        <f t="shared" si="3"/>
        <v>4432.1755677438905</v>
      </c>
      <c r="L9" s="6">
        <v>244</v>
      </c>
      <c r="M9" s="6">
        <v>5.92</v>
      </c>
      <c r="N9" s="9">
        <f>Table1[[#This Row],[Volume (MMBtu)]]*Table1[[#This Row],[MMBtu to CCF]]</f>
        <v>6210.8497130000005</v>
      </c>
      <c r="O9" s="10">
        <v>9.5219000000000005</v>
      </c>
      <c r="P9" s="10">
        <v>538</v>
      </c>
      <c r="Q9" s="6">
        <f>0.0972*2500+(Table1[[#This Row],[Consumption (CCF)]]-2500)*0.0259</f>
        <v>339.11100756669998</v>
      </c>
      <c r="R9" s="6">
        <v>0</v>
      </c>
      <c r="S9" s="6">
        <f>Table1[[#This Row],[Demand (CCF)]]*1.507</f>
        <v>810.76599999999996</v>
      </c>
      <c r="T9" s="6">
        <f>-0.0245*Table1[[#This Row],[Demand (CCF)]]</f>
        <v>-13.181000000000001</v>
      </c>
      <c r="U9" s="6">
        <f>0.0432*Table1[[#This Row],[Consumption (CCF)]]</f>
        <v>268.30870760160002</v>
      </c>
      <c r="V9" s="6">
        <f>0.0528*Table1[[#This Row],[Consumption (CCF)]]</f>
        <v>327.93286484640004</v>
      </c>
      <c r="W9" s="6">
        <f>0.015*Table1[[#This Row],[Demand (CCF)]]</f>
        <v>8.07</v>
      </c>
      <c r="X9" s="6">
        <f>0.0259*Table1[[#This Row],[Consumption (CCF)]]</f>
        <v>160.86100756670001</v>
      </c>
      <c r="Y9" s="6">
        <f>0.0775*Table1[[#This Row],[Demand (CCF)]]</f>
        <v>41.695</v>
      </c>
      <c r="Z9" s="6">
        <f>9.02*Table1[[#This Row],[Volume (MMBtu)]]</f>
        <v>5883.4753999999994</v>
      </c>
    </row>
    <row r="10" spans="1:26" x14ac:dyDescent="0.2">
      <c r="A10" s="3">
        <v>44943</v>
      </c>
      <c r="B10" s="3">
        <v>44908</v>
      </c>
      <c r="C10" s="3">
        <v>44937</v>
      </c>
      <c r="D10" s="5">
        <v>741.49</v>
      </c>
      <c r="E10" s="6">
        <f t="shared" si="4"/>
        <v>6.07</v>
      </c>
      <c r="F10" s="7">
        <f t="shared" si="0"/>
        <v>4500.8443000000007</v>
      </c>
      <c r="G10" s="8">
        <v>6.3500000000000001E-2</v>
      </c>
      <c r="H10" s="6">
        <f t="shared" si="1"/>
        <v>300.83688309643003</v>
      </c>
      <c r="I10" s="8">
        <v>5.2600000000000001E-2</v>
      </c>
      <c r="J10" s="6">
        <f t="shared" si="2"/>
        <v>236.74441018000005</v>
      </c>
      <c r="K10" s="6">
        <f t="shared" si="3"/>
        <v>5038.4255932764308</v>
      </c>
      <c r="L10" s="6">
        <v>244</v>
      </c>
      <c r="M10" s="6">
        <v>5.92</v>
      </c>
      <c r="N10" s="9">
        <f>Table1[[#This Row],[Volume (MMBtu)]]*Table1[[#This Row],[MMBtu to CCF]]</f>
        <v>7060.3936310000008</v>
      </c>
      <c r="O10" s="10">
        <v>9.5219000000000005</v>
      </c>
      <c r="P10" s="10">
        <v>538</v>
      </c>
      <c r="Q10" s="6">
        <f>0.0972*2500+(Table1[[#This Row],[Consumption (CCF)]]-2500)*0.0259</f>
        <v>361.11419504290001</v>
      </c>
      <c r="R10" s="6">
        <v>0</v>
      </c>
      <c r="S10" s="6">
        <f>Table1[[#This Row],[Demand (CCF)]]*1.507</f>
        <v>810.76599999999996</v>
      </c>
      <c r="T10" s="6">
        <f>-0.0245*Table1[[#This Row],[Demand (CCF)]]</f>
        <v>-13.181000000000001</v>
      </c>
      <c r="U10" s="6">
        <f>0.0432*Table1[[#This Row],[Consumption (CCF)]]</f>
        <v>305.00900485920005</v>
      </c>
      <c r="V10" s="6">
        <f>0.0528*Table1[[#This Row],[Consumption (CCF)]]</f>
        <v>372.78878371680003</v>
      </c>
      <c r="W10" s="6">
        <f>0.015*Table1[[#This Row],[Demand (CCF)]]</f>
        <v>8.07</v>
      </c>
      <c r="X10" s="6">
        <f>0.0259*Table1[[#This Row],[Consumption (CCF)]]</f>
        <v>182.86419504290001</v>
      </c>
      <c r="Y10" s="6">
        <f>0.0775*Table1[[#This Row],[Demand (CCF)]]</f>
        <v>41.695</v>
      </c>
      <c r="Z10" s="6">
        <f>9.02*Table1[[#This Row],[Volume (MMBtu)]]</f>
        <v>6688.2397999999994</v>
      </c>
    </row>
    <row r="11" spans="1:26" x14ac:dyDescent="0.2">
      <c r="A11" s="3">
        <v>44977</v>
      </c>
      <c r="B11" s="3">
        <v>44938</v>
      </c>
      <c r="C11" s="3">
        <v>44967</v>
      </c>
      <c r="D11" s="5">
        <v>947.53</v>
      </c>
      <c r="E11" s="6">
        <f t="shared" si="4"/>
        <v>6.07</v>
      </c>
      <c r="F11" s="7">
        <f t="shared" si="0"/>
        <v>5751.5070999999998</v>
      </c>
      <c r="G11" s="8">
        <v>6.3500000000000001E-2</v>
      </c>
      <c r="H11" s="6">
        <f t="shared" si="1"/>
        <v>384.43130971470998</v>
      </c>
      <c r="I11" s="8">
        <v>5.2600000000000001E-2</v>
      </c>
      <c r="J11" s="6">
        <f t="shared" si="2"/>
        <v>302.52927346000001</v>
      </c>
      <c r="K11" s="6">
        <f t="shared" si="3"/>
        <v>6438.4676831747101</v>
      </c>
      <c r="L11" s="6">
        <v>244</v>
      </c>
      <c r="M11" s="6">
        <v>5.92</v>
      </c>
      <c r="N11" s="10">
        <v>9024.8770000000004</v>
      </c>
      <c r="O11" s="12">
        <f>Table1[[#This Row],[Consumption (CCF)]]/Table1[[#This Row],[Volume (MMBtu)]]</f>
        <v>9.5246345762139466</v>
      </c>
      <c r="P11" s="10">
        <v>538</v>
      </c>
      <c r="Q11" s="6">
        <f t="shared" ref="Q11" si="5">243+168.99</f>
        <v>411.99</v>
      </c>
      <c r="R11" s="6">
        <v>-345.79</v>
      </c>
      <c r="S11" s="6">
        <v>810.77</v>
      </c>
      <c r="T11" s="6">
        <f>24.1</f>
        <v>24.1</v>
      </c>
      <c r="U11" s="6">
        <v>415.14</v>
      </c>
      <c r="V11" s="6">
        <v>335.73</v>
      </c>
      <c r="W11" s="6">
        <v>8.07</v>
      </c>
      <c r="X11" s="6">
        <v>263.52999999999997</v>
      </c>
      <c r="Y11" s="6">
        <v>44.6</v>
      </c>
      <c r="Z11" s="6">
        <f>9.02*Table1[[#This Row],[Volume (MMBtu)]]</f>
        <v>8546.7205999999987</v>
      </c>
    </row>
    <row r="12" spans="1:26" x14ac:dyDescent="0.2">
      <c r="A12" s="3">
        <v>45005</v>
      </c>
      <c r="B12" s="3">
        <v>44968</v>
      </c>
      <c r="C12" s="3">
        <v>44995</v>
      </c>
      <c r="D12" s="5">
        <v>706.22</v>
      </c>
      <c r="E12" s="6">
        <f t="shared" si="4"/>
        <v>6.07</v>
      </c>
      <c r="F12" s="7">
        <f t="shared" si="0"/>
        <v>4286.7554</v>
      </c>
      <c r="G12" s="8">
        <v>6.3500000000000001E-2</v>
      </c>
      <c r="H12" s="6">
        <f t="shared" si="1"/>
        <v>286.52715961154001</v>
      </c>
      <c r="I12" s="8">
        <v>5.2600000000000001E-2</v>
      </c>
      <c r="J12" s="6">
        <f t="shared" si="2"/>
        <v>225.48333404000002</v>
      </c>
      <c r="K12" s="6">
        <f t="shared" si="3"/>
        <v>4798.76589365154</v>
      </c>
      <c r="L12" s="6">
        <v>244</v>
      </c>
      <c r="M12" s="6">
        <v>5.92</v>
      </c>
      <c r="N12" s="9">
        <v>6719.77</v>
      </c>
      <c r="O12" s="12">
        <f>Table1[[#This Row],[Consumption (CCF)]]/Table1[[#This Row],[Volume (MMBtu)]]</f>
        <v>9.5151227662767983</v>
      </c>
      <c r="P12" s="10">
        <v>538</v>
      </c>
      <c r="Q12" s="6">
        <f>243+109.29</f>
        <v>352.29</v>
      </c>
      <c r="R12" s="6">
        <v>0</v>
      </c>
      <c r="S12" s="6">
        <v>810.77</v>
      </c>
      <c r="T12" s="6">
        <v>24.1</v>
      </c>
      <c r="U12" s="6">
        <v>309.11</v>
      </c>
      <c r="V12" s="6">
        <v>249.98</v>
      </c>
      <c r="W12" s="6">
        <v>8.07</v>
      </c>
      <c r="X12" s="6">
        <v>196.22</v>
      </c>
      <c r="Y12" s="6">
        <v>44.6</v>
      </c>
      <c r="Z12" s="6">
        <f>9.02*Table1[[#This Row],[Volume (MMBtu)]]</f>
        <v>6370.1044000000002</v>
      </c>
    </row>
    <row r="13" spans="1:26" x14ac:dyDescent="0.2">
      <c r="A13" s="3">
        <v>45033</v>
      </c>
      <c r="B13" s="3">
        <v>44996</v>
      </c>
      <c r="C13" s="3">
        <v>45027</v>
      </c>
      <c r="D13" s="5">
        <v>549.88</v>
      </c>
      <c r="E13" s="6">
        <f t="shared" si="4"/>
        <v>6.07</v>
      </c>
      <c r="F13" s="7">
        <f t="shared" si="0"/>
        <v>3337.7716</v>
      </c>
      <c r="G13" s="8">
        <v>6.3500000000000001E-2</v>
      </c>
      <c r="H13" s="6">
        <f t="shared" si="1"/>
        <v>223.09698752116</v>
      </c>
      <c r="I13" s="8">
        <v>5.2600000000000001E-2</v>
      </c>
      <c r="J13" s="6">
        <f t="shared" si="2"/>
        <v>175.56678615999999</v>
      </c>
      <c r="K13" s="6">
        <f t="shared" si="3"/>
        <v>3736.4353736811599</v>
      </c>
      <c r="L13" s="6">
        <v>244</v>
      </c>
      <c r="M13" s="6">
        <v>5.92</v>
      </c>
      <c r="N13" s="10">
        <v>5237.0540000000001</v>
      </c>
      <c r="O13" s="12">
        <f>Table1[[#This Row],[Consumption (CCF)]]/Table1[[#This Row],[Volume (MMBtu)]]</f>
        <v>9.5239943260347708</v>
      </c>
      <c r="P13" s="10">
        <v>538</v>
      </c>
      <c r="Q13" s="6">
        <f>243+70.89</f>
        <v>313.89</v>
      </c>
      <c r="R13" s="6">
        <v>0</v>
      </c>
      <c r="S13" s="6">
        <v>810.77</v>
      </c>
      <c r="T13" s="6">
        <v>24.1</v>
      </c>
      <c r="U13" s="6">
        <v>240.9</v>
      </c>
      <c r="V13" s="6">
        <v>194.82</v>
      </c>
      <c r="W13" s="6">
        <v>8.07</v>
      </c>
      <c r="X13" s="6">
        <f>100.32+36.46</f>
        <v>136.78</v>
      </c>
      <c r="Y13" s="6">
        <f>29.27+21.69</f>
        <v>50.96</v>
      </c>
      <c r="Z13" s="6">
        <f>9.02*Table1[[#This Row],[Volume (MMBtu)]]</f>
        <v>4959.9175999999998</v>
      </c>
    </row>
    <row r="14" spans="1:26" x14ac:dyDescent="0.2">
      <c r="A14" s="3">
        <v>45061</v>
      </c>
      <c r="B14" s="3">
        <v>45028</v>
      </c>
      <c r="C14" s="3">
        <v>45056</v>
      </c>
      <c r="D14" s="5">
        <v>143.16999999999999</v>
      </c>
      <c r="E14" s="6">
        <f t="shared" si="4"/>
        <v>6.07</v>
      </c>
      <c r="F14" s="7">
        <f t="shared" si="0"/>
        <v>869.04189999999994</v>
      </c>
      <c r="G14" s="8">
        <v>6.3500000000000001E-2</v>
      </c>
      <c r="H14" s="6">
        <f t="shared" si="1"/>
        <v>58.086847500189997</v>
      </c>
      <c r="I14" s="8">
        <v>5.2600000000000001E-2</v>
      </c>
      <c r="J14" s="6">
        <f>I14*F14</f>
        <v>45.711603939999996</v>
      </c>
      <c r="K14" s="6">
        <f t="shared" si="3"/>
        <v>972.84035144018992</v>
      </c>
      <c r="L14" s="6">
        <v>244</v>
      </c>
      <c r="M14" s="6">
        <v>5.92</v>
      </c>
      <c r="N14" s="10">
        <v>1363.509</v>
      </c>
      <c r="O14" s="12">
        <f>Table1[[#This Row],[Consumption (CCF)]]/Table1[[#This Row],[Volume (MMBtu)]]</f>
        <v>9.523706083676748</v>
      </c>
      <c r="P14" s="10">
        <v>522</v>
      </c>
      <c r="Q14" s="6">
        <f>132.53</f>
        <v>132.53</v>
      </c>
      <c r="R14" s="6">
        <v>0</v>
      </c>
      <c r="S14" s="6">
        <v>786.65</v>
      </c>
      <c r="T14" s="6">
        <f>15.32+24.62</f>
        <v>39.94</v>
      </c>
      <c r="U14" s="6">
        <v>62.72</v>
      </c>
      <c r="V14" s="6">
        <v>50.72</v>
      </c>
      <c r="W14" s="6">
        <v>7.83</v>
      </c>
      <c r="X14" s="6">
        <v>27.6</v>
      </c>
      <c r="Y14" s="6">
        <v>61.23</v>
      </c>
      <c r="Z14" s="6">
        <f>9.02*Table1[[#This Row],[Volume (MMBtu)]]</f>
        <v>1291.3933999999999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Natural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Bailey</dc:creator>
  <cp:lastModifiedBy>Bailey, Nick</cp:lastModifiedBy>
  <dcterms:created xsi:type="dcterms:W3CDTF">2025-03-17T21:35:46Z</dcterms:created>
  <dcterms:modified xsi:type="dcterms:W3CDTF">2025-03-17T21:46:33Z</dcterms:modified>
</cp:coreProperties>
</file>