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662250f208460d0/University/Year 3/Inventory/Production/"/>
    </mc:Choice>
  </mc:AlternateContent>
  <xr:revisionPtr revIDLastSave="2281" documentId="14_{6E17A571-1D41-41FD-9FF4-C1E4E9DB840D}" xr6:coauthVersionLast="47" xr6:coauthVersionMax="47" xr10:uidLastSave="{0D1F8C75-590F-40BD-A7F5-EF3FC37E7ED7}"/>
  <bookViews>
    <workbookView xWindow="-108" yWindow="-108" windowWidth="23256" windowHeight="12456" activeTab="1" xr2:uid="{00000000-000D-0000-FFFF-FFFF00000000}"/>
  </bookViews>
  <sheets>
    <sheet name="Part A&amp;B1" sheetId="1" r:id="rId1"/>
    <sheet name="Sensitivity Report Part B2" sheetId="15" r:id="rId2"/>
    <sheet name="PART B2" sheetId="2" r:id="rId3"/>
    <sheet name="NEW DEMAND" sheetId="5" r:id="rId4"/>
    <sheet name="PART C.1" sheetId="14" r:id="rId5"/>
    <sheet name="PART C.2" sheetId="9" r:id="rId6"/>
    <sheet name="PART C.3" sheetId="10" r:id="rId7"/>
    <sheet name="PART C.4" sheetId="11" r:id="rId8"/>
    <sheet name="PART C.5" sheetId="12" r:id="rId9"/>
  </sheets>
  <definedNames>
    <definedName name="solver_adj" localSheetId="0" hidden="1">'Part A&amp;B1'!$E$3:$K$8</definedName>
    <definedName name="solver_adj" localSheetId="2" hidden="1">'PART B2'!$E$3:$K$8</definedName>
    <definedName name="solver_adj" localSheetId="4" hidden="1">'PART C.1'!$E$3:$K$8</definedName>
    <definedName name="solver_adj" localSheetId="5" hidden="1">'PART C.2'!$E$3:$K$8</definedName>
    <definedName name="solver_adj" localSheetId="6" hidden="1">'PART C.3'!$E$3:$K$8</definedName>
    <definedName name="solver_adj" localSheetId="7" hidden="1">'PART C.4'!$E$3:$K$8</definedName>
    <definedName name="solver_adj" localSheetId="8" hidden="1">'PART C.5'!$E$3:$K$8</definedName>
    <definedName name="solver_cvg" localSheetId="0" hidden="1">0.0001</definedName>
    <definedName name="solver_cvg" localSheetId="2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drv" localSheetId="0" hidden="1">2</definedName>
    <definedName name="solver_drv" localSheetId="2" hidden="1">2</definedName>
    <definedName name="solver_drv" localSheetId="4" hidden="1">1</definedName>
    <definedName name="solver_drv" localSheetId="5" hidden="1">2</definedName>
    <definedName name="solver_drv" localSheetId="6" hidden="1">1</definedName>
    <definedName name="solver_drv" localSheetId="7" hidden="1">1</definedName>
    <definedName name="solver_drv" localSheetId="8" hidden="1">2</definedName>
    <definedName name="solver_eng" localSheetId="0" hidden="1">2</definedName>
    <definedName name="solver_eng" localSheetId="2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ng" localSheetId="8" hidden="1">2</definedName>
    <definedName name="solver_est" localSheetId="0" hidden="1">1</definedName>
    <definedName name="solver_est" localSheetId="2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itr" localSheetId="0" hidden="1">2147483647</definedName>
    <definedName name="solver_itr" localSheetId="2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lhs1" localSheetId="0" hidden="1">'Part A&amp;B1'!$E$3:$E$8</definedName>
    <definedName name="solver_lhs1" localSheetId="2" hidden="1">'PART B2'!$E$2:$E$8</definedName>
    <definedName name="solver_lhs1" localSheetId="4" hidden="1">'PART C.1'!$E$3:$E$8</definedName>
    <definedName name="solver_lhs1" localSheetId="5" hidden="1">'PART C.2'!$E$3:$E$8</definedName>
    <definedName name="solver_lhs1" localSheetId="6" hidden="1">'PART C.3'!$E$3:$E$8</definedName>
    <definedName name="solver_lhs1" localSheetId="7" hidden="1">'PART C.4'!$E$3:$E$8</definedName>
    <definedName name="solver_lhs1" localSheetId="8" hidden="1">'PART C.5'!$E$3:$E$8</definedName>
    <definedName name="solver_lhs10" localSheetId="0" hidden="1">'Part A&amp;B1'!$R$3:$R$8</definedName>
    <definedName name="solver_lhs10" localSheetId="2" hidden="1">'PART B2'!$R$3:$R$8</definedName>
    <definedName name="solver_lhs10" localSheetId="4" hidden="1">'PART C.1'!$R$3:$R$8</definedName>
    <definedName name="solver_lhs10" localSheetId="5" hidden="1">'PART C.2'!$R$3:$R$8</definedName>
    <definedName name="solver_lhs10" localSheetId="6" hidden="1">'PART C.3'!$R$3:$R$8</definedName>
    <definedName name="solver_lhs10" localSheetId="7" hidden="1">'PART C.4'!$R$3:$R$8</definedName>
    <definedName name="solver_lhs10" localSheetId="8" hidden="1">'PART C.5'!$R$3:$R$8</definedName>
    <definedName name="solver_lhs2" localSheetId="0" hidden="1">'Part A&amp;B1'!$E$3:$K$8</definedName>
    <definedName name="solver_lhs2" localSheetId="2" hidden="1">'PART B2'!$E$3:$K$8</definedName>
    <definedName name="solver_lhs2" localSheetId="4" hidden="1">'PART C.1'!$E$3:$K$8</definedName>
    <definedName name="solver_lhs2" localSheetId="5" hidden="1">'PART C.2'!$E$3:$K$8</definedName>
    <definedName name="solver_lhs2" localSheetId="6" hidden="1">'PART C.3'!$E$3:$K$8</definedName>
    <definedName name="solver_lhs2" localSheetId="7" hidden="1">'PART C.4'!$E$3:$K$8</definedName>
    <definedName name="solver_lhs2" localSheetId="8" hidden="1">'PART C.5'!$E$3:$K$8</definedName>
    <definedName name="solver_lhs3" localSheetId="0" hidden="1">'Part A&amp;B1'!$E$3:$K$8</definedName>
    <definedName name="solver_lhs3" localSheetId="2" hidden="1">'PART B2'!$F$2:$F$8</definedName>
    <definedName name="solver_lhs3" localSheetId="4" hidden="1">'PART C.1'!$E$3:$K$8</definedName>
    <definedName name="solver_lhs3" localSheetId="5" hidden="1">'PART C.2'!$E$3:$K$8</definedName>
    <definedName name="solver_lhs3" localSheetId="6" hidden="1">'PART C.3'!$E$3:$K$8</definedName>
    <definedName name="solver_lhs3" localSheetId="7" hidden="1">'PART C.4'!$E$3:$K$8</definedName>
    <definedName name="solver_lhs3" localSheetId="8" hidden="1">'PART C.5'!$E$3:$K$8</definedName>
    <definedName name="solver_lhs4" localSheetId="0" hidden="1">'Part A&amp;B1'!$F$3:$F$8</definedName>
    <definedName name="solver_lhs4" localSheetId="2" hidden="1">'PART B2'!$G$2:$G$8</definedName>
    <definedName name="solver_lhs4" localSheetId="4" hidden="1">'PART C.1'!$F$3:$F$8</definedName>
    <definedName name="solver_lhs4" localSheetId="5" hidden="1">'PART C.2'!$F$3:$F$8</definedName>
    <definedName name="solver_lhs4" localSheetId="6" hidden="1">'PART C.3'!$F$3:$F$8</definedName>
    <definedName name="solver_lhs4" localSheetId="7" hidden="1">'PART C.4'!$F$3:$F$8</definedName>
    <definedName name="solver_lhs4" localSheetId="8" hidden="1">'PART C.5'!$F$3:$F$8</definedName>
    <definedName name="solver_lhs5" localSheetId="0" hidden="1">'Part A&amp;B1'!$G$3:$G$8</definedName>
    <definedName name="solver_lhs5" localSheetId="2" hidden="1">'PART B2'!$G$3:$G$8</definedName>
    <definedName name="solver_lhs5" localSheetId="4" hidden="1">'PART C.1'!$G$3:$G$8</definedName>
    <definedName name="solver_lhs5" localSheetId="5" hidden="1">'PART C.2'!$G$3:$G$8</definedName>
    <definedName name="solver_lhs5" localSheetId="6" hidden="1">'PART C.3'!$G$3:$G$8</definedName>
    <definedName name="solver_lhs5" localSheetId="7" hidden="1">'PART C.4'!$G$3:$G$8</definedName>
    <definedName name="solver_lhs5" localSheetId="8" hidden="1">'PART C.5'!$G$3:$G$8</definedName>
    <definedName name="solver_lhs6" localSheetId="0" hidden="1">'Part A&amp;B1'!$G$3:$G$8</definedName>
    <definedName name="solver_lhs6" localSheetId="2" hidden="1">'PART B2'!$I$8</definedName>
    <definedName name="solver_lhs6" localSheetId="4" hidden="1">'PART C.1'!$G$3:$G$8</definedName>
    <definedName name="solver_lhs6" localSheetId="5" hidden="1">'PART C.2'!$G$3:$G$8</definedName>
    <definedName name="solver_lhs6" localSheetId="6" hidden="1">'PART C.3'!$G$3:$G$8</definedName>
    <definedName name="solver_lhs6" localSheetId="7" hidden="1">'PART C.4'!$G$3:$G$8</definedName>
    <definedName name="solver_lhs6" localSheetId="8" hidden="1">'PART C.5'!$G$3:$G$8</definedName>
    <definedName name="solver_lhs7" localSheetId="0" hidden="1">'Part A&amp;B1'!$I$8</definedName>
    <definedName name="solver_lhs7" localSheetId="2" hidden="1">'PART B2'!$O$3:$O$8</definedName>
    <definedName name="solver_lhs7" localSheetId="4" hidden="1">'PART C.1'!$I$8</definedName>
    <definedName name="solver_lhs7" localSheetId="5" hidden="1">'PART C.2'!$I$8</definedName>
    <definedName name="solver_lhs7" localSheetId="6" hidden="1">'PART C.3'!$I$8</definedName>
    <definedName name="solver_lhs7" localSheetId="7" hidden="1">'PART C.4'!$J$8</definedName>
    <definedName name="solver_lhs7" localSheetId="8" hidden="1">'PART C.5'!$J$8</definedName>
    <definedName name="solver_lhs8" localSheetId="0" hidden="1">'Part A&amp;B1'!$O$3:$O$8</definedName>
    <definedName name="solver_lhs8" localSheetId="2" hidden="1">'PART B2'!$P$3:$P$8</definedName>
    <definedName name="solver_lhs8" localSheetId="4" hidden="1">'PART C.1'!$O$3:$O$8</definedName>
    <definedName name="solver_lhs8" localSheetId="5" hidden="1">'PART C.2'!$O$3:$O$8</definedName>
    <definedName name="solver_lhs8" localSheetId="6" hidden="1">'PART C.3'!$O$3:$O$8</definedName>
    <definedName name="solver_lhs8" localSheetId="7" hidden="1">'PART C.4'!$O$3:$O$8</definedName>
    <definedName name="solver_lhs8" localSheetId="8" hidden="1">'PART C.5'!$O$3:$O$8</definedName>
    <definedName name="solver_lhs9" localSheetId="0" hidden="1">'Part A&amp;B1'!$P$3:$Q$8</definedName>
    <definedName name="solver_lhs9" localSheetId="2" hidden="1">'PART B2'!$Q$3:$Q$8</definedName>
    <definedName name="solver_lhs9" localSheetId="4" hidden="1">'PART C.1'!$P$3:$Q$8</definedName>
    <definedName name="solver_lhs9" localSheetId="5" hidden="1">'PART C.2'!$P$3:$Q$8</definedName>
    <definedName name="solver_lhs9" localSheetId="6" hidden="1">'PART C.3'!$P$3:$Q$8</definedName>
    <definedName name="solver_lhs9" localSheetId="7" hidden="1">'PART C.4'!$P$3:$Q$8</definedName>
    <definedName name="solver_lhs9" localSheetId="8" hidden="1">'PART C.5'!$P$3:$Q$8</definedName>
    <definedName name="solver_mip" localSheetId="0" hidden="1">2147483647</definedName>
    <definedName name="solver_mip" localSheetId="2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ni" localSheetId="0" hidden="1">30</definedName>
    <definedName name="solver_mni" localSheetId="2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rt" localSheetId="0" hidden="1">0.075</definedName>
    <definedName name="solver_mrt" localSheetId="2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sl" localSheetId="0" hidden="1">2</definedName>
    <definedName name="solver_msl" localSheetId="2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neg" localSheetId="0" hidden="1">1</definedName>
    <definedName name="solver_neg" localSheetId="2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od" localSheetId="0" hidden="1">2147483647</definedName>
    <definedName name="solver_nod" localSheetId="2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um" localSheetId="0" hidden="1">10</definedName>
    <definedName name="solver_num" localSheetId="2" hidden="1">10</definedName>
    <definedName name="solver_num" localSheetId="4" hidden="1">10</definedName>
    <definedName name="solver_num" localSheetId="5" hidden="1">10</definedName>
    <definedName name="solver_num" localSheetId="6" hidden="1">10</definedName>
    <definedName name="solver_num" localSheetId="7" hidden="1">10</definedName>
    <definedName name="solver_num" localSheetId="8" hidden="1">10</definedName>
    <definedName name="solver_nwt" localSheetId="0" hidden="1">1</definedName>
    <definedName name="solver_nwt" localSheetId="2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opt" localSheetId="0" hidden="1">'Part A&amp;B1'!$L$21</definedName>
    <definedName name="solver_opt" localSheetId="2" hidden="1">'PART B2'!$L$21</definedName>
    <definedName name="solver_opt" localSheetId="5" hidden="1">'PART C.2'!$L$21</definedName>
    <definedName name="solver_opt" localSheetId="6" hidden="1">'PART C.3'!$L$21</definedName>
    <definedName name="solver_opt" localSheetId="7" hidden="1">'PART C.4'!$L$21</definedName>
    <definedName name="solver_opt" localSheetId="8" hidden="1">'PART C.5'!$L$21</definedName>
    <definedName name="solver_pre" localSheetId="0" hidden="1">0.000001</definedName>
    <definedName name="solver_pre" localSheetId="2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rbv" localSheetId="0" hidden="1">2</definedName>
    <definedName name="solver_rbv" localSheetId="2" hidden="1">2</definedName>
    <definedName name="solver_rbv" localSheetId="4" hidden="1">1</definedName>
    <definedName name="solver_rbv" localSheetId="5" hidden="1">2</definedName>
    <definedName name="solver_rbv" localSheetId="6" hidden="1">1</definedName>
    <definedName name="solver_rbv" localSheetId="7" hidden="1">1</definedName>
    <definedName name="solver_rbv" localSheetId="8" hidden="1">2</definedName>
    <definedName name="solver_rel1" localSheetId="0" hidden="1">1</definedName>
    <definedName name="solver_rel1" localSheetId="2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8" hidden="1">1</definedName>
    <definedName name="solver_rel10" localSheetId="0" hidden="1">2</definedName>
    <definedName name="solver_rel10" localSheetId="2" hidden="1">2</definedName>
    <definedName name="solver_rel10" localSheetId="4" hidden="1">2</definedName>
    <definedName name="solver_rel10" localSheetId="5" hidden="1">2</definedName>
    <definedName name="solver_rel10" localSheetId="6" hidden="1">2</definedName>
    <definedName name="solver_rel10" localSheetId="7" hidden="1">2</definedName>
    <definedName name="solver_rel10" localSheetId="8" hidden="1">2</definedName>
    <definedName name="solver_rel2" localSheetId="0" hidden="1">4</definedName>
    <definedName name="solver_rel2" localSheetId="2" hidden="1">3</definedName>
    <definedName name="solver_rel2" localSheetId="4" hidden="1">4</definedName>
    <definedName name="solver_rel2" localSheetId="5" hidden="1">4</definedName>
    <definedName name="solver_rel2" localSheetId="6" hidden="1">4</definedName>
    <definedName name="solver_rel2" localSheetId="7" hidden="1">4</definedName>
    <definedName name="solver_rel2" localSheetId="8" hidden="1">4</definedName>
    <definedName name="solver_rel3" localSheetId="0" hidden="1">3</definedName>
    <definedName name="solver_rel3" localSheetId="2" hidden="1">1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el3" localSheetId="8" hidden="1">3</definedName>
    <definedName name="solver_rel4" localSheetId="0" hidden="1">1</definedName>
    <definedName name="solver_rel4" localSheetId="2" hidden="1">1</definedName>
    <definedName name="solver_rel4" localSheetId="4" hidden="1">1</definedName>
    <definedName name="solver_rel4" localSheetId="5" hidden="1">1</definedName>
    <definedName name="solver_rel4" localSheetId="6" hidden="1">1</definedName>
    <definedName name="solver_rel4" localSheetId="7" hidden="1">1</definedName>
    <definedName name="solver_rel4" localSheetId="8" hidden="1">1</definedName>
    <definedName name="solver_rel5" localSheetId="0" hidden="1">1</definedName>
    <definedName name="solver_rel5" localSheetId="2" hidden="1">3</definedName>
    <definedName name="solver_rel5" localSheetId="4" hidden="1">1</definedName>
    <definedName name="solver_rel5" localSheetId="5" hidden="1">1</definedName>
    <definedName name="solver_rel5" localSheetId="6" hidden="1">1</definedName>
    <definedName name="solver_rel5" localSheetId="7" hidden="1">1</definedName>
    <definedName name="solver_rel5" localSheetId="8" hidden="1">1</definedName>
    <definedName name="solver_rel6" localSheetId="0" hidden="1">3</definedName>
    <definedName name="solver_rel6" localSheetId="2" hidden="1">2</definedName>
    <definedName name="solver_rel6" localSheetId="4" hidden="1">3</definedName>
    <definedName name="solver_rel6" localSheetId="5" hidden="1">3</definedName>
    <definedName name="solver_rel6" localSheetId="6" hidden="1">3</definedName>
    <definedName name="solver_rel6" localSheetId="7" hidden="1">3</definedName>
    <definedName name="solver_rel6" localSheetId="8" hidden="1">3</definedName>
    <definedName name="solver_rel7" localSheetId="0" hidden="1">2</definedName>
    <definedName name="solver_rel7" localSheetId="2" hidden="1">2</definedName>
    <definedName name="solver_rel7" localSheetId="4" hidden="1">2</definedName>
    <definedName name="solver_rel7" localSheetId="5" hidden="1">2</definedName>
    <definedName name="solver_rel7" localSheetId="6" hidden="1">2</definedName>
    <definedName name="solver_rel7" localSheetId="7" hidden="1">2</definedName>
    <definedName name="solver_rel7" localSheetId="8" hidden="1">2</definedName>
    <definedName name="solver_rel8" localSheetId="0" hidden="1">2</definedName>
    <definedName name="solver_rel8" localSheetId="2" hidden="1">3</definedName>
    <definedName name="solver_rel8" localSheetId="4" hidden="1">2</definedName>
    <definedName name="solver_rel8" localSheetId="5" hidden="1">2</definedName>
    <definedName name="solver_rel8" localSheetId="6" hidden="1">2</definedName>
    <definedName name="solver_rel8" localSheetId="7" hidden="1">2</definedName>
    <definedName name="solver_rel8" localSheetId="8" hidden="1">2</definedName>
    <definedName name="solver_rel9" localSheetId="0" hidden="1">3</definedName>
    <definedName name="solver_rel9" localSheetId="2" hidden="1">3</definedName>
    <definedName name="solver_rel9" localSheetId="4" hidden="1">3</definedName>
    <definedName name="solver_rel9" localSheetId="5" hidden="1">3</definedName>
    <definedName name="solver_rel9" localSheetId="6" hidden="1">3</definedName>
    <definedName name="solver_rel9" localSheetId="7" hidden="1">3</definedName>
    <definedName name="solver_rel9" localSheetId="8" hidden="1">3</definedName>
    <definedName name="solver_rhs1" localSheetId="0" hidden="1">'Part A&amp;B1'!$B$14</definedName>
    <definedName name="solver_rhs1" localSheetId="2" hidden="1">'PART B2'!$B$14</definedName>
    <definedName name="solver_rhs1" localSheetId="4" hidden="1">'PART C.1'!$B$14</definedName>
    <definedName name="solver_rhs1" localSheetId="5" hidden="1">'PART C.2'!$B$14</definedName>
    <definedName name="solver_rhs1" localSheetId="6" hidden="1">'PART C.3'!$B$14</definedName>
    <definedName name="solver_rhs1" localSheetId="7" hidden="1">'PART C.4'!$B$14</definedName>
    <definedName name="solver_rhs1" localSheetId="8" hidden="1">'PART C.5'!$B$14</definedName>
    <definedName name="solver_rhs10" localSheetId="0" hidden="1">0</definedName>
    <definedName name="solver_rhs10" localSheetId="2" hidden="1">0</definedName>
    <definedName name="solver_rhs10" localSheetId="4" hidden="1">0</definedName>
    <definedName name="solver_rhs10" localSheetId="5" hidden="1">0</definedName>
    <definedName name="solver_rhs10" localSheetId="6" hidden="1">0</definedName>
    <definedName name="solver_rhs10" localSheetId="7" hidden="1">0</definedName>
    <definedName name="solver_rhs10" localSheetId="8" hidden="1">0</definedName>
    <definedName name="solver_rhs2" localSheetId="0" hidden="1">"integer"</definedName>
    <definedName name="solver_rhs2" localSheetId="2" hidden="1">0</definedName>
    <definedName name="solver_rhs2" localSheetId="4" hidden="1">"integer"</definedName>
    <definedName name="solver_rhs2" localSheetId="5" hidden="1">"integer"</definedName>
    <definedName name="solver_rhs2" localSheetId="6" hidden="1">"integer"</definedName>
    <definedName name="solver_rhs2" localSheetId="7" hidden="1">"integer"</definedName>
    <definedName name="solver_rhs2" localSheetId="8" hidden="1">"integer"</definedName>
    <definedName name="solver_rhs3" localSheetId="0" hidden="1">0</definedName>
    <definedName name="solver_rhs3" localSheetId="2" hidden="1">'PART B2'!$B$14</definedName>
    <definedName name="solver_rhs3" localSheetId="4" hidden="1">0</definedName>
    <definedName name="solver_rhs3" localSheetId="5" hidden="1">0</definedName>
    <definedName name="solver_rhs3" localSheetId="6" hidden="1">0</definedName>
    <definedName name="solver_rhs3" localSheetId="7" hidden="1">0</definedName>
    <definedName name="solver_rhs3" localSheetId="8" hidden="1">0</definedName>
    <definedName name="solver_rhs4" localSheetId="0" hidden="1">'Part A&amp;B1'!$B$14</definedName>
    <definedName name="solver_rhs4" localSheetId="2" hidden="1">73</definedName>
    <definedName name="solver_rhs4" localSheetId="4" hidden="1">'PART C.1'!$B$14</definedName>
    <definedName name="solver_rhs4" localSheetId="5" hidden="1">'PART C.2'!$B$14</definedName>
    <definedName name="solver_rhs4" localSheetId="6" hidden="1">'PART C.3'!$B$14</definedName>
    <definedName name="solver_rhs4" localSheetId="7" hidden="1">'PART C.4'!$B$14</definedName>
    <definedName name="solver_rhs4" localSheetId="8" hidden="1">'PART C.5'!$B$14</definedName>
    <definedName name="solver_rhs5" localSheetId="0" hidden="1">73</definedName>
    <definedName name="solver_rhs5" localSheetId="2" hidden="1">53</definedName>
    <definedName name="solver_rhs5" localSheetId="4" hidden="1">73</definedName>
    <definedName name="solver_rhs5" localSheetId="5" hidden="1">73</definedName>
    <definedName name="solver_rhs5" localSheetId="6" hidden="1">73</definedName>
    <definedName name="solver_rhs5" localSheetId="7" hidden="1">73</definedName>
    <definedName name="solver_rhs5" localSheetId="8" hidden="1">73</definedName>
    <definedName name="solver_rhs6" localSheetId="0" hidden="1">'Part A&amp;B1'!$B$13</definedName>
    <definedName name="solver_rhs6" localSheetId="2" hidden="1">0</definedName>
    <definedName name="solver_rhs6" localSheetId="4" hidden="1">'PART C.1'!$B$13</definedName>
    <definedName name="solver_rhs6" localSheetId="5" hidden="1">'PART C.2'!$B$13</definedName>
    <definedName name="solver_rhs6" localSheetId="6" hidden="1">'PART C.3'!$B$13</definedName>
    <definedName name="solver_rhs6" localSheetId="7" hidden="1">'PART C.4'!$B$13</definedName>
    <definedName name="solver_rhs6" localSheetId="8" hidden="1">'PART C.5'!$B$13</definedName>
    <definedName name="solver_rhs7" localSheetId="0" hidden="1">0</definedName>
    <definedName name="solver_rhs7" localSheetId="2" hidden="1">0</definedName>
    <definedName name="solver_rhs7" localSheetId="4" hidden="1">0</definedName>
    <definedName name="solver_rhs7" localSheetId="5" hidden="1">0</definedName>
    <definedName name="solver_rhs7" localSheetId="6" hidden="1">0</definedName>
    <definedName name="solver_rhs7" localSheetId="7" hidden="1">0</definedName>
    <definedName name="solver_rhs7" localSheetId="8" hidden="1">0</definedName>
    <definedName name="solver_rhs8" localSheetId="0" hidden="1">0</definedName>
    <definedName name="solver_rhs8" localSheetId="2" hidden="1">0</definedName>
    <definedName name="solver_rhs8" localSheetId="4" hidden="1">0</definedName>
    <definedName name="solver_rhs8" localSheetId="5" hidden="1">0</definedName>
    <definedName name="solver_rhs8" localSheetId="6" hidden="1">0</definedName>
    <definedName name="solver_rhs8" localSheetId="7" hidden="1">0</definedName>
    <definedName name="solver_rhs8" localSheetId="8" hidden="1">0</definedName>
    <definedName name="solver_rhs9" localSheetId="0" hidden="1">0</definedName>
    <definedName name="solver_rhs9" localSheetId="2" hidden="1">0</definedName>
    <definedName name="solver_rhs9" localSheetId="4" hidden="1">0</definedName>
    <definedName name="solver_rhs9" localSheetId="5" hidden="1">0</definedName>
    <definedName name="solver_rhs9" localSheetId="6" hidden="1">0</definedName>
    <definedName name="solver_rhs9" localSheetId="7" hidden="1">0</definedName>
    <definedName name="solver_rhs9" localSheetId="8" hidden="1">0</definedName>
    <definedName name="solver_rlx" localSheetId="0" hidden="1">2</definedName>
    <definedName name="solver_rlx" localSheetId="2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sd" localSheetId="0" hidden="1">0</definedName>
    <definedName name="solver_rsd" localSheetId="2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scl" localSheetId="0" hidden="1">2</definedName>
    <definedName name="solver_scl" localSheetId="2" hidden="1">2</definedName>
    <definedName name="solver_scl" localSheetId="4" hidden="1">1</definedName>
    <definedName name="solver_scl" localSheetId="5" hidden="1">2</definedName>
    <definedName name="solver_scl" localSheetId="6" hidden="1">1</definedName>
    <definedName name="solver_scl" localSheetId="7" hidden="1">1</definedName>
    <definedName name="solver_scl" localSheetId="8" hidden="1">2</definedName>
    <definedName name="solver_sho" localSheetId="0" hidden="1">2</definedName>
    <definedName name="solver_sho" localSheetId="2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sz" localSheetId="0" hidden="1">100</definedName>
    <definedName name="solver_ssz" localSheetId="2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tim" localSheetId="0" hidden="1">2147483647</definedName>
    <definedName name="solver_tim" localSheetId="2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ol" localSheetId="0" hidden="1">0.01</definedName>
    <definedName name="solver_tol" localSheetId="2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yp" localSheetId="0" hidden="1">1</definedName>
    <definedName name="solver_typ" localSheetId="2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typ" localSheetId="8" hidden="1">1</definedName>
    <definedName name="solver_val" localSheetId="0" hidden="1">0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er" localSheetId="0" hidden="1">3</definedName>
    <definedName name="solver_ver" localSheetId="2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5" l="1"/>
  <c r="L19" i="12"/>
  <c r="K17" i="12"/>
  <c r="J17" i="12"/>
  <c r="I17" i="12"/>
  <c r="H17" i="12"/>
  <c r="G17" i="12"/>
  <c r="F17" i="12"/>
  <c r="E17" i="12"/>
  <c r="K16" i="12"/>
  <c r="J16" i="12"/>
  <c r="I16" i="12"/>
  <c r="H16" i="12"/>
  <c r="G16" i="12"/>
  <c r="F16" i="12"/>
  <c r="E16" i="12"/>
  <c r="K15" i="12"/>
  <c r="J15" i="12"/>
  <c r="I15" i="12"/>
  <c r="H15" i="12"/>
  <c r="G15" i="12"/>
  <c r="F15" i="12"/>
  <c r="E15" i="12"/>
  <c r="K14" i="12"/>
  <c r="J14" i="12"/>
  <c r="I14" i="12"/>
  <c r="H14" i="12"/>
  <c r="G14" i="12"/>
  <c r="F14" i="12"/>
  <c r="E14" i="12"/>
  <c r="K13" i="12"/>
  <c r="J13" i="12"/>
  <c r="I13" i="12"/>
  <c r="H13" i="12"/>
  <c r="G13" i="12"/>
  <c r="F13" i="12"/>
  <c r="E13" i="12"/>
  <c r="K12" i="12"/>
  <c r="J12" i="12"/>
  <c r="I12" i="12"/>
  <c r="H12" i="12"/>
  <c r="G12" i="12"/>
  <c r="F12" i="12"/>
  <c r="E12" i="12"/>
  <c r="R8" i="12"/>
  <c r="Q8" i="12"/>
  <c r="P8" i="12"/>
  <c r="O8" i="12"/>
  <c r="R7" i="12"/>
  <c r="Q7" i="12"/>
  <c r="P7" i="12"/>
  <c r="O7" i="12"/>
  <c r="R6" i="12"/>
  <c r="Q6" i="12"/>
  <c r="P6" i="12"/>
  <c r="O6" i="12"/>
  <c r="R5" i="12"/>
  <c r="Q5" i="12"/>
  <c r="P5" i="12"/>
  <c r="O5" i="12"/>
  <c r="R4" i="12"/>
  <c r="Q4" i="12"/>
  <c r="P4" i="12"/>
  <c r="O4" i="12"/>
  <c r="R3" i="12"/>
  <c r="Q3" i="12"/>
  <c r="P3" i="12"/>
  <c r="O3" i="12"/>
  <c r="L19" i="11"/>
  <c r="K17" i="11"/>
  <c r="J17" i="11"/>
  <c r="I17" i="11"/>
  <c r="H17" i="11"/>
  <c r="G17" i="11"/>
  <c r="F17" i="11"/>
  <c r="E17" i="11"/>
  <c r="K16" i="11"/>
  <c r="J16" i="11"/>
  <c r="I16" i="11"/>
  <c r="H16" i="11"/>
  <c r="G16" i="11"/>
  <c r="F16" i="11"/>
  <c r="E16" i="11"/>
  <c r="K15" i="11"/>
  <c r="J15" i="11"/>
  <c r="I15" i="11"/>
  <c r="H15" i="11"/>
  <c r="G15" i="11"/>
  <c r="F15" i="11"/>
  <c r="E15" i="11"/>
  <c r="K14" i="11"/>
  <c r="J14" i="11"/>
  <c r="I14" i="11"/>
  <c r="H14" i="11"/>
  <c r="G14" i="11"/>
  <c r="F14" i="11"/>
  <c r="E14" i="11"/>
  <c r="K13" i="11"/>
  <c r="J13" i="11"/>
  <c r="I13" i="11"/>
  <c r="H13" i="11"/>
  <c r="G13" i="11"/>
  <c r="F13" i="11"/>
  <c r="E13" i="11"/>
  <c r="K12" i="11"/>
  <c r="J12" i="11"/>
  <c r="I12" i="11"/>
  <c r="H12" i="11"/>
  <c r="G12" i="11"/>
  <c r="F12" i="11"/>
  <c r="E12" i="11"/>
  <c r="R8" i="11"/>
  <c r="Q8" i="11"/>
  <c r="P8" i="11"/>
  <c r="O8" i="11"/>
  <c r="R7" i="11"/>
  <c r="Q7" i="11"/>
  <c r="P7" i="11"/>
  <c r="O7" i="11"/>
  <c r="R6" i="11"/>
  <c r="Q6" i="11"/>
  <c r="P6" i="11"/>
  <c r="O6" i="11"/>
  <c r="R5" i="11"/>
  <c r="Q5" i="11"/>
  <c r="P5" i="11"/>
  <c r="O5" i="11"/>
  <c r="R4" i="11"/>
  <c r="Q4" i="11"/>
  <c r="P4" i="11"/>
  <c r="O4" i="11"/>
  <c r="R3" i="11"/>
  <c r="Q3" i="11"/>
  <c r="P3" i="11"/>
  <c r="O3" i="11"/>
  <c r="L19" i="10"/>
  <c r="K17" i="10"/>
  <c r="J17" i="10"/>
  <c r="I17" i="10"/>
  <c r="H17" i="10"/>
  <c r="G17" i="10"/>
  <c r="F17" i="10"/>
  <c r="E17" i="10"/>
  <c r="K16" i="10"/>
  <c r="J16" i="10"/>
  <c r="I16" i="10"/>
  <c r="H16" i="10"/>
  <c r="G16" i="10"/>
  <c r="F16" i="10"/>
  <c r="E16" i="10"/>
  <c r="K15" i="10"/>
  <c r="J15" i="10"/>
  <c r="I15" i="10"/>
  <c r="H15" i="10"/>
  <c r="G15" i="10"/>
  <c r="F15" i="10"/>
  <c r="E15" i="10"/>
  <c r="K14" i="10"/>
  <c r="J14" i="10"/>
  <c r="I14" i="10"/>
  <c r="H14" i="10"/>
  <c r="G14" i="10"/>
  <c r="F14" i="10"/>
  <c r="E14" i="10"/>
  <c r="K13" i="10"/>
  <c r="J13" i="10"/>
  <c r="I13" i="10"/>
  <c r="H13" i="10"/>
  <c r="G13" i="10"/>
  <c r="F13" i="10"/>
  <c r="E13" i="10"/>
  <c r="K12" i="10"/>
  <c r="J12" i="10"/>
  <c r="I12" i="10"/>
  <c r="H12" i="10"/>
  <c r="G12" i="10"/>
  <c r="F12" i="10"/>
  <c r="E12" i="10"/>
  <c r="R8" i="10"/>
  <c r="Q8" i="10"/>
  <c r="P8" i="10"/>
  <c r="O8" i="10"/>
  <c r="R7" i="10"/>
  <c r="Q7" i="10"/>
  <c r="P7" i="10"/>
  <c r="O7" i="10"/>
  <c r="R6" i="10"/>
  <c r="Q6" i="10"/>
  <c r="P6" i="10"/>
  <c r="O6" i="10"/>
  <c r="R5" i="10"/>
  <c r="Q5" i="10"/>
  <c r="P5" i="10"/>
  <c r="O5" i="10"/>
  <c r="R4" i="10"/>
  <c r="Q4" i="10"/>
  <c r="P4" i="10"/>
  <c r="O4" i="10"/>
  <c r="R3" i="10"/>
  <c r="Q3" i="10"/>
  <c r="P3" i="10"/>
  <c r="O3" i="10"/>
  <c r="L19" i="9"/>
  <c r="K17" i="9"/>
  <c r="J17" i="9"/>
  <c r="I17" i="9"/>
  <c r="H17" i="9"/>
  <c r="G17" i="9"/>
  <c r="F17" i="9"/>
  <c r="E17" i="9"/>
  <c r="K16" i="9"/>
  <c r="J16" i="9"/>
  <c r="I16" i="9"/>
  <c r="H16" i="9"/>
  <c r="G16" i="9"/>
  <c r="F16" i="9"/>
  <c r="E16" i="9"/>
  <c r="K15" i="9"/>
  <c r="J15" i="9"/>
  <c r="I15" i="9"/>
  <c r="H15" i="9"/>
  <c r="G15" i="9"/>
  <c r="F15" i="9"/>
  <c r="E15" i="9"/>
  <c r="K14" i="9"/>
  <c r="J14" i="9"/>
  <c r="I14" i="9"/>
  <c r="H14" i="9"/>
  <c r="G14" i="9"/>
  <c r="F14" i="9"/>
  <c r="E14" i="9"/>
  <c r="K13" i="9"/>
  <c r="J13" i="9"/>
  <c r="I13" i="9"/>
  <c r="H13" i="9"/>
  <c r="G13" i="9"/>
  <c r="F13" i="9"/>
  <c r="E13" i="9"/>
  <c r="K12" i="9"/>
  <c r="J12" i="9"/>
  <c r="I12" i="9"/>
  <c r="H12" i="9"/>
  <c r="G12" i="9"/>
  <c r="F12" i="9"/>
  <c r="E12" i="9"/>
  <c r="R8" i="9"/>
  <c r="Q8" i="9"/>
  <c r="P8" i="9"/>
  <c r="O8" i="9"/>
  <c r="R7" i="9"/>
  <c r="Q7" i="9"/>
  <c r="P7" i="9"/>
  <c r="O7" i="9"/>
  <c r="R6" i="9"/>
  <c r="Q6" i="9"/>
  <c r="P6" i="9"/>
  <c r="O6" i="9"/>
  <c r="R5" i="9"/>
  <c r="Q5" i="9"/>
  <c r="P5" i="9"/>
  <c r="O5" i="9"/>
  <c r="R4" i="9"/>
  <c r="Q4" i="9"/>
  <c r="P4" i="9"/>
  <c r="O4" i="9"/>
  <c r="R3" i="9"/>
  <c r="Q3" i="9"/>
  <c r="P3" i="9"/>
  <c r="O3" i="9"/>
  <c r="L19" i="14"/>
  <c r="K17" i="14"/>
  <c r="J17" i="14"/>
  <c r="I17" i="14"/>
  <c r="H17" i="14"/>
  <c r="G17" i="14"/>
  <c r="F17" i="14"/>
  <c r="E17" i="14"/>
  <c r="K16" i="14"/>
  <c r="J16" i="14"/>
  <c r="I16" i="14"/>
  <c r="H16" i="14"/>
  <c r="G16" i="14"/>
  <c r="F16" i="14"/>
  <c r="E16" i="14"/>
  <c r="K15" i="14"/>
  <c r="J15" i="14"/>
  <c r="I15" i="14"/>
  <c r="H15" i="14"/>
  <c r="G15" i="14"/>
  <c r="F15" i="14"/>
  <c r="E15" i="14"/>
  <c r="K14" i="14"/>
  <c r="J14" i="14"/>
  <c r="I14" i="14"/>
  <c r="H14" i="14"/>
  <c r="G14" i="14"/>
  <c r="F14" i="14"/>
  <c r="E14" i="14"/>
  <c r="K13" i="14"/>
  <c r="J13" i="14"/>
  <c r="I13" i="14"/>
  <c r="H13" i="14"/>
  <c r="G13" i="14"/>
  <c r="F13" i="14"/>
  <c r="E13" i="14"/>
  <c r="K12" i="14"/>
  <c r="J12" i="14"/>
  <c r="I12" i="14"/>
  <c r="H12" i="14"/>
  <c r="G12" i="14"/>
  <c r="F12" i="14"/>
  <c r="E12" i="14"/>
  <c r="R8" i="14"/>
  <c r="Q8" i="14"/>
  <c r="P8" i="14"/>
  <c r="O8" i="14"/>
  <c r="R7" i="14"/>
  <c r="Q7" i="14"/>
  <c r="P7" i="14"/>
  <c r="O7" i="14"/>
  <c r="R6" i="14"/>
  <c r="Q6" i="14"/>
  <c r="P6" i="14"/>
  <c r="O6" i="14"/>
  <c r="R5" i="14"/>
  <c r="Q5" i="14"/>
  <c r="P5" i="14"/>
  <c r="O5" i="14"/>
  <c r="R4" i="14"/>
  <c r="Q4" i="14"/>
  <c r="P4" i="14"/>
  <c r="O4" i="14"/>
  <c r="R3" i="14"/>
  <c r="Q3" i="14"/>
  <c r="P3" i="14"/>
  <c r="O3" i="14"/>
  <c r="C40" i="5" a="1"/>
  <c r="C40" i="5" s="1"/>
  <c r="C39" i="5"/>
  <c r="C32" i="5" a="1"/>
  <c r="C32" i="5" s="1"/>
  <c r="C29" i="5"/>
  <c r="C22" i="5" a="1"/>
  <c r="C22" i="5" s="1"/>
  <c r="C21" i="5"/>
  <c r="C25" i="5" a="1"/>
  <c r="C25" i="5" s="1"/>
  <c r="C17" i="5" a="1"/>
  <c r="C17" i="5" s="1"/>
  <c r="C14" i="5" a="1"/>
  <c r="C14" i="5" s="1"/>
  <c r="C13" i="5"/>
  <c r="C6" i="5" a="1"/>
  <c r="C6" i="5" s="1"/>
  <c r="C5" i="5"/>
  <c r="L19" i="1"/>
  <c r="L19" i="2"/>
  <c r="I2" i="2"/>
  <c r="G2" i="2"/>
  <c r="R3" i="2" s="1"/>
  <c r="K17" i="2"/>
  <c r="J17" i="2"/>
  <c r="I17" i="2"/>
  <c r="H17" i="2"/>
  <c r="G17" i="2"/>
  <c r="F17" i="2"/>
  <c r="E17" i="2"/>
  <c r="K16" i="2"/>
  <c r="J16" i="2"/>
  <c r="I16" i="2"/>
  <c r="H16" i="2"/>
  <c r="G16" i="2"/>
  <c r="F16" i="2"/>
  <c r="E16" i="2"/>
  <c r="K15" i="2"/>
  <c r="J15" i="2"/>
  <c r="I15" i="2"/>
  <c r="H15" i="2"/>
  <c r="G15" i="2"/>
  <c r="F15" i="2"/>
  <c r="E15" i="2"/>
  <c r="K14" i="2"/>
  <c r="J14" i="2"/>
  <c r="I14" i="2"/>
  <c r="H14" i="2"/>
  <c r="G14" i="2"/>
  <c r="F14" i="2"/>
  <c r="E14" i="2"/>
  <c r="K13" i="2"/>
  <c r="J13" i="2"/>
  <c r="I13" i="2"/>
  <c r="H13" i="2"/>
  <c r="G13" i="2"/>
  <c r="F13" i="2"/>
  <c r="E13" i="2"/>
  <c r="K12" i="2"/>
  <c r="J12" i="2"/>
  <c r="I12" i="2"/>
  <c r="H12" i="2"/>
  <c r="G12" i="2"/>
  <c r="F12" i="2"/>
  <c r="E12" i="2"/>
  <c r="L11" i="2"/>
  <c r="R8" i="2"/>
  <c r="Q8" i="2"/>
  <c r="P8" i="2"/>
  <c r="O8" i="2"/>
  <c r="R7" i="2"/>
  <c r="Q7" i="2"/>
  <c r="P7" i="2"/>
  <c r="O7" i="2"/>
  <c r="R6" i="2"/>
  <c r="Q6" i="2"/>
  <c r="P6" i="2"/>
  <c r="O6" i="2"/>
  <c r="R5" i="2"/>
  <c r="Q5" i="2"/>
  <c r="P5" i="2"/>
  <c r="O5" i="2"/>
  <c r="R4" i="2"/>
  <c r="Q4" i="2"/>
  <c r="P4" i="2"/>
  <c r="O4" i="2"/>
  <c r="Q3" i="2"/>
  <c r="P3" i="2"/>
  <c r="O3" i="2"/>
  <c r="T24" i="1"/>
  <c r="T23" i="1"/>
  <c r="T21" i="1" a="1"/>
  <c r="T20" i="1" a="1"/>
  <c r="T19" i="1"/>
  <c r="T18" i="1" a="1"/>
  <c r="T18" i="1" s="1"/>
  <c r="T17" i="1" a="1"/>
  <c r="T17" i="1" s="1"/>
  <c r="T16" i="1" a="1"/>
  <c r="T16" i="1" s="1"/>
  <c r="T15" i="1" a="1"/>
  <c r="T15" i="1" s="1"/>
  <c r="T14" i="1" a="1"/>
  <c r="T14" i="1" s="1"/>
  <c r="T13" i="1" a="1"/>
  <c r="T13" i="1" s="1"/>
  <c r="T12" i="1"/>
  <c r="R4" i="1"/>
  <c r="R5" i="1"/>
  <c r="R6" i="1"/>
  <c r="R7" i="1"/>
  <c r="R8" i="1"/>
  <c r="R3" i="1"/>
  <c r="T22" i="1" s="1" a="1"/>
  <c r="T22" i="1" s="1"/>
  <c r="Q4" i="1"/>
  <c r="Q5" i="1"/>
  <c r="Q6" i="1"/>
  <c r="Q7" i="1"/>
  <c r="Q8" i="1"/>
  <c r="Q3" i="1"/>
  <c r="P4" i="1"/>
  <c r="P5" i="1"/>
  <c r="P6" i="1"/>
  <c r="P7" i="1"/>
  <c r="P8" i="1"/>
  <c r="P3" i="1"/>
  <c r="O4" i="1"/>
  <c r="O5" i="1"/>
  <c r="O6" i="1"/>
  <c r="O7" i="1"/>
  <c r="O8" i="1"/>
  <c r="O3" i="1"/>
  <c r="L17" i="12" l="1"/>
  <c r="L15" i="12"/>
  <c r="L14" i="12"/>
  <c r="L14" i="10"/>
  <c r="L14" i="11"/>
  <c r="L13" i="11"/>
  <c r="L12" i="11"/>
  <c r="L13" i="10"/>
  <c r="L12" i="10"/>
  <c r="L17" i="10"/>
  <c r="L16" i="10"/>
  <c r="L15" i="10"/>
  <c r="L17" i="9"/>
  <c r="L16" i="9"/>
  <c r="L15" i="9"/>
  <c r="L14" i="9"/>
  <c r="L16" i="14"/>
  <c r="L15" i="14"/>
  <c r="L14" i="14"/>
  <c r="L13" i="14"/>
  <c r="L12" i="14"/>
  <c r="L12" i="12"/>
  <c r="L16" i="12"/>
  <c r="L13" i="12"/>
  <c r="L17" i="11"/>
  <c r="L16" i="11"/>
  <c r="L15" i="11"/>
  <c r="L13" i="9"/>
  <c r="L12" i="9"/>
  <c r="L17" i="14"/>
  <c r="T21" i="1"/>
  <c r="T20" i="1"/>
  <c r="L16" i="2"/>
  <c r="L15" i="2"/>
  <c r="L14" i="2"/>
  <c r="L13" i="2"/>
  <c r="L12" i="2"/>
  <c r="L17" i="2"/>
  <c r="K12" i="1"/>
  <c r="K13" i="1"/>
  <c r="K14" i="1"/>
  <c r="K15" i="1"/>
  <c r="K16" i="1"/>
  <c r="K17" i="1"/>
  <c r="J13" i="1"/>
  <c r="J14" i="1"/>
  <c r="J15" i="1"/>
  <c r="J16" i="1"/>
  <c r="J17" i="1"/>
  <c r="J12" i="1"/>
  <c r="I13" i="1"/>
  <c r="I14" i="1"/>
  <c r="I15" i="1"/>
  <c r="I16" i="1"/>
  <c r="I17" i="1"/>
  <c r="I12" i="1"/>
  <c r="H17" i="1"/>
  <c r="H13" i="1"/>
  <c r="H14" i="1"/>
  <c r="H15" i="1"/>
  <c r="H16" i="1"/>
  <c r="H12" i="1"/>
  <c r="F13" i="1"/>
  <c r="F14" i="1"/>
  <c r="F15" i="1"/>
  <c r="F16" i="1"/>
  <c r="F17" i="1"/>
  <c r="F12" i="1"/>
  <c r="E13" i="1"/>
  <c r="E14" i="1"/>
  <c r="E15" i="1"/>
  <c r="E16" i="1"/>
  <c r="E17" i="1"/>
  <c r="E12" i="1"/>
  <c r="L20" i="12" l="1"/>
  <c r="L21" i="12" s="1"/>
  <c r="L20" i="11"/>
  <c r="L21" i="11" s="1"/>
  <c r="L20" i="10"/>
  <c r="L21" i="10" s="1"/>
  <c r="L20" i="14"/>
  <c r="L21" i="14" s="1"/>
  <c r="L20" i="9"/>
  <c r="L21" i="9" s="1"/>
  <c r="L20" i="2"/>
  <c r="L21" i="2" s="1"/>
  <c r="G14" i="1"/>
  <c r="L14" i="1" s="1"/>
  <c r="G15" i="1"/>
  <c r="L15" i="1" s="1"/>
  <c r="G12" i="1"/>
  <c r="L12" i="1" s="1"/>
  <c r="G16" i="1"/>
  <c r="L16" i="1" s="1"/>
  <c r="G17" i="1"/>
  <c r="L17" i="1" s="1"/>
  <c r="G13" i="1"/>
  <c r="L13" i="1" s="1"/>
  <c r="L20" i="1" l="1"/>
  <c r="T11" i="1" l="1"/>
  <c r="L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<sst xmlns="http://schemas.openxmlformats.org/spreadsheetml/2006/main" count="710" uniqueCount="179">
  <si>
    <t>Demand</t>
  </si>
  <si>
    <t>Oct</t>
  </si>
  <si>
    <t>Nov</t>
  </si>
  <si>
    <t>Dec</t>
  </si>
  <si>
    <t>Jan</t>
  </si>
  <si>
    <t>Feb</t>
  </si>
  <si>
    <t>Mar</t>
  </si>
  <si>
    <t>RT</t>
  </si>
  <si>
    <t>OT</t>
  </si>
  <si>
    <t>OL</t>
  </si>
  <si>
    <t>RE</t>
  </si>
  <si>
    <t>TE</t>
  </si>
  <si>
    <t>RC</t>
  </si>
  <si>
    <t>TC</t>
  </si>
  <si>
    <t>MC</t>
  </si>
  <si>
    <t>IC</t>
  </si>
  <si>
    <t>II</t>
  </si>
  <si>
    <t>EIC</t>
  </si>
  <si>
    <t>P</t>
  </si>
  <si>
    <t>Values</t>
  </si>
  <si>
    <t>Hired</t>
  </si>
  <si>
    <t>Laid Off</t>
  </si>
  <si>
    <t>Workforce</t>
  </si>
  <si>
    <t>Overtime</t>
  </si>
  <si>
    <t>Inventory</t>
  </si>
  <si>
    <t xml:space="preserve">Stockout </t>
  </si>
  <si>
    <t>Production</t>
  </si>
  <si>
    <t>Sep</t>
  </si>
  <si>
    <t>Costs</t>
  </si>
  <si>
    <t>Hiring</t>
  </si>
  <si>
    <t>Lay off</t>
  </si>
  <si>
    <t>Stockout</t>
  </si>
  <si>
    <t>Total</t>
  </si>
  <si>
    <t>Constraints</t>
  </si>
  <si>
    <t>Workforce costs</t>
  </si>
  <si>
    <t>Microsoft Excel 16.0 Sensitivity Report</t>
  </si>
  <si>
    <t>Worksheet: [ass.xlsx]PART B2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</si>
  <si>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</si>
  <si>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</si>
  <si>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</si>
  <si>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</si>
  <si>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</si>
  <si>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</si>
  <si>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</si>
  <si>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</si>
  <si>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</si>
  <si>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</si>
  <si>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</si>
  <si>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</si>
  <si>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</si>
  <si>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</si>
  <si>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</si>
  <si>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</si>
  <si>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$E$3</t>
  </si>
  <si>
    <t>Oct Hired</t>
  </si>
  <si>
    <t>$F$3</t>
  </si>
  <si>
    <t>Oct Laid Off</t>
  </si>
  <si>
    <t>$G$3</t>
  </si>
  <si>
    <t>Oct Workforce</t>
  </si>
  <si>
    <t>$H$3</t>
  </si>
  <si>
    <t>Oct Overtime</t>
  </si>
  <si>
    <t>$I$3</t>
  </si>
  <si>
    <t>Oct Inventory</t>
  </si>
  <si>
    <t>$J$3</t>
  </si>
  <si>
    <t xml:space="preserve">Oct Stockout </t>
  </si>
  <si>
    <t>$K$3</t>
  </si>
  <si>
    <t>Oct Production</t>
  </si>
  <si>
    <t>$E$4</t>
  </si>
  <si>
    <t>Nov Hired</t>
  </si>
  <si>
    <t>$F$4</t>
  </si>
  <si>
    <t>Nov Laid Off</t>
  </si>
  <si>
    <t>$G$4</t>
  </si>
  <si>
    <t>Nov Workforce</t>
  </si>
  <si>
    <t>$H$4</t>
  </si>
  <si>
    <t>Nov Overtime</t>
  </si>
  <si>
    <t>$I$4</t>
  </si>
  <si>
    <t>Nov Inventory</t>
  </si>
  <si>
    <t>$J$4</t>
  </si>
  <si>
    <t xml:space="preserve">Nov Stockout </t>
  </si>
  <si>
    <t>$K$4</t>
  </si>
  <si>
    <t>Nov Production</t>
  </si>
  <si>
    <t>$E$5</t>
  </si>
  <si>
    <t>Dec Hired</t>
  </si>
  <si>
    <t>$F$5</t>
  </si>
  <si>
    <t>Dec Laid Off</t>
  </si>
  <si>
    <t>$G$5</t>
  </si>
  <si>
    <t>Dec Workforce</t>
  </si>
  <si>
    <t>$H$5</t>
  </si>
  <si>
    <t>Dec Overtime</t>
  </si>
  <si>
    <t>$I$5</t>
  </si>
  <si>
    <t>Dec Inventory</t>
  </si>
  <si>
    <t>$J$5</t>
  </si>
  <si>
    <t xml:space="preserve">Dec Stockout </t>
  </si>
  <si>
    <t>$K$5</t>
  </si>
  <si>
    <t>Dec Production</t>
  </si>
  <si>
    <t>$E$6</t>
  </si>
  <si>
    <t>Jan Hired</t>
  </si>
  <si>
    <t>$F$6</t>
  </si>
  <si>
    <t>Jan Laid Off</t>
  </si>
  <si>
    <t>$G$6</t>
  </si>
  <si>
    <t>Jan Workforce</t>
  </si>
  <si>
    <t>$H$6</t>
  </si>
  <si>
    <t>Jan Overtime</t>
  </si>
  <si>
    <t>$I$6</t>
  </si>
  <si>
    <t>Jan Inventory</t>
  </si>
  <si>
    <t>$J$6</t>
  </si>
  <si>
    <t xml:space="preserve">Jan Stockout </t>
  </si>
  <si>
    <t>$K$6</t>
  </si>
  <si>
    <t>Jan Production</t>
  </si>
  <si>
    <t>$E$7</t>
  </si>
  <si>
    <t>Feb Hired</t>
  </si>
  <si>
    <t>$F$7</t>
  </si>
  <si>
    <t>Feb Laid Off</t>
  </si>
  <si>
    <t>$G$7</t>
  </si>
  <si>
    <t>Feb Workforce</t>
  </si>
  <si>
    <t>$H$7</t>
  </si>
  <si>
    <t>Feb Overtime</t>
  </si>
  <si>
    <t>$I$7</t>
  </si>
  <si>
    <t>Feb Inventory</t>
  </si>
  <si>
    <t>$J$7</t>
  </si>
  <si>
    <t xml:space="preserve">Feb Stockout </t>
  </si>
  <si>
    <t>$K$7</t>
  </si>
  <si>
    <t>Feb Production</t>
  </si>
  <si>
    <t>$E$8</t>
  </si>
  <si>
    <t>Mar Hired</t>
  </si>
  <si>
    <t>$F$8</t>
  </si>
  <si>
    <t>Mar Laid Off</t>
  </si>
  <si>
    <t>$G$8</t>
  </si>
  <si>
    <t>Mar Workforce</t>
  </si>
  <si>
    <t>$H$8</t>
  </si>
  <si>
    <t>Mar Overtime</t>
  </si>
  <si>
    <t>$I$8</t>
  </si>
  <si>
    <t>Mar Inventory</t>
  </si>
  <si>
    <t>$J$8</t>
  </si>
  <si>
    <t xml:space="preserve">Mar Stockout </t>
  </si>
  <si>
    <t>$K$8</t>
  </si>
  <si>
    <t>Mar Production</t>
  </si>
  <si>
    <t>$E$2</t>
  </si>
  <si>
    <t>Sep Hired</t>
  </si>
  <si>
    <t>$F$2</t>
  </si>
  <si>
    <t>Sep Laid Off</t>
  </si>
  <si>
    <t>$G$2</t>
  </si>
  <si>
    <t>Sep Workforce</t>
  </si>
  <si>
    <t>$O$3</t>
  </si>
  <si>
    <t>$O$4</t>
  </si>
  <si>
    <t>$O$5</t>
  </si>
  <si>
    <t>$O$6</t>
  </si>
  <si>
    <t>$O$7</t>
  </si>
  <si>
    <t>$O$8</t>
  </si>
  <si>
    <t>$P$3</t>
  </si>
  <si>
    <t>$P$4</t>
  </si>
  <si>
    <t>$P$5</t>
  </si>
  <si>
    <t>$P$6</t>
  </si>
  <si>
    <t>$P$7</t>
  </si>
  <si>
    <t>$P$8</t>
  </si>
  <si>
    <t>$Q$3</t>
  </si>
  <si>
    <t>$Q$4</t>
  </si>
  <si>
    <t>$Q$5</t>
  </si>
  <si>
    <t>$Q$6</t>
  </si>
  <si>
    <t>$Q$7</t>
  </si>
  <si>
    <t>$Q$8</t>
  </si>
  <si>
    <t>$R$3</t>
  </si>
  <si>
    <t>$R$4</t>
  </si>
  <si>
    <t>$R$5</t>
  </si>
  <si>
    <t>$R$6</t>
  </si>
  <si>
    <t>$R$7</t>
  </si>
  <si>
    <t>$R$8</t>
  </si>
  <si>
    <t>Old Demand</t>
  </si>
  <si>
    <t>New Demand</t>
  </si>
  <si>
    <t>Profit</t>
  </si>
  <si>
    <t>Revenue</t>
  </si>
  <si>
    <t>Let AT be AlpineThreads and SR SnowRidge</t>
  </si>
  <si>
    <t>2. October AT1, SR0</t>
  </si>
  <si>
    <t>1. October AT1, SR1</t>
  </si>
  <si>
    <t>3. October AT0, SR1</t>
  </si>
  <si>
    <t>4. December AT1, SR1 (in October)</t>
  </si>
  <si>
    <t>5. December AT1, SR0 (in October)</t>
  </si>
  <si>
    <t>Let 1 be a company implementing the promotion, 0 not implementing (in a given month)</t>
  </si>
  <si>
    <t>Report Created: 17/05/2024 13:22:18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</si>
</sst>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-[$$-409]* #,##0.00_ ;_-[$$-409]* \-#,##0.00\ ;_-[$$-409]* &quot;-&quot;??_ ;_-@_ "/>
    <numFmt numFmtId="166" formatCode="_(&quot;$&quot;* #,##0_);_(&quot;$&quot;* \(#,##0\);_(&quot;$&quot;* &quot;-&quot;??_);_(@_)"/>
    <numFmt numFmtId="167" formatCode="_-[$$-409]* #,##0_ ;_-[$$-409]* \-#,##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indexed="1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0" fillId="2" borderId="1" xfId="0" applyFill="1" applyBorder="1"/>
    <xf numFmtId="0" fontId="2" fillId="0" borderId="1" xfId="0" applyFont="1" applyBorder="1"/>
    <xf numFmtId="0" fontId="4" fillId="0" borderId="0" xfId="0" applyFont="1"/>
    <xf numFmtId="164" fontId="0" fillId="0" borderId="0" xfId="0" applyNumberFormat="1"/>
    <xf numFmtId="0" fontId="4" fillId="0" borderId="0" xfId="0" applyFont="1" applyAlignment="1">
      <alignment horizontal="right"/>
    </xf>
    <xf numFmtId="164" fontId="3" fillId="3" borderId="0" xfId="1" applyFont="1" applyFill="1"/>
    <xf numFmtId="0" fontId="0" fillId="0" borderId="1" xfId="0" applyBorder="1"/>
    <xf numFmtId="0" fontId="3" fillId="4" borderId="0" xfId="0" applyFont="1" applyFill="1"/>
    <xf numFmtId="0" fontId="3" fillId="4" borderId="1" xfId="0" applyFont="1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164" fontId="3" fillId="5" borderId="0" xfId="1" applyFont="1" applyFill="1"/>
    <xf numFmtId="0" fontId="3" fillId="5" borderId="0" xfId="0" applyFont="1" applyFill="1"/>
    <xf numFmtId="0" fontId="3" fillId="3" borderId="0" xfId="0" applyFont="1" applyFill="1"/>
    <xf numFmtId="165" fontId="3" fillId="3" borderId="0" xfId="0" applyNumberFormat="1" applyFont="1" applyFill="1"/>
    <xf numFmtId="0" fontId="3" fillId="6" borderId="0" xfId="0" applyFont="1" applyFill="1"/>
    <xf numFmtId="164" fontId="3" fillId="6" borderId="0" xfId="1" applyFont="1" applyFill="1"/>
    <xf numFmtId="0" fontId="6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3" fillId="0" borderId="0" xfId="0" applyNumberFormat="1" applyFont="1" applyAlignment="1">
      <alignment horizontal="center"/>
    </xf>
    <xf numFmtId="164" fontId="0" fillId="0" borderId="1" xfId="1" applyFont="1" applyBorder="1"/>
    <xf numFmtId="166" fontId="0" fillId="0" borderId="3" xfId="1" applyNumberFormat="1" applyFont="1" applyBorder="1"/>
    <xf numFmtId="166" fontId="0" fillId="0" borderId="2" xfId="1" applyNumberFormat="1" applyFont="1" applyBorder="1"/>
    <xf numFmtId="166" fontId="0" fillId="0" borderId="4" xfId="1" applyNumberFormat="1" applyFont="1" applyBorder="1"/>
    <xf numFmtId="166" fontId="0" fillId="0" borderId="1" xfId="1" applyNumberFormat="1" applyFont="1" applyBorder="1"/>
    <xf numFmtId="167" fontId="0" fillId="0" borderId="1" xfId="0" applyNumberFormat="1" applyBorder="1"/>
    <xf numFmtId="0" fontId="0" fillId="0" borderId="7" xfId="0" applyBorder="1"/>
    <xf numFmtId="0" fontId="0" fillId="0" borderId="8" xfId="0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workbookViewId="0">
      <selection activeCell="K19" sqref="K19:L21"/>
    </sheetView>
  </sheetViews>
  <sheetFormatPr defaultRowHeight="14.4" x14ac:dyDescent="0.3"/>
  <cols>
    <col min="1" max="1" width="4.5546875" bestFit="1" customWidth="1"/>
    <col min="2" max="2" width="8.44140625" bestFit="1" customWidth="1"/>
    <col min="4" max="4" width="7" bestFit="1" customWidth="1"/>
    <col min="5" max="5" width="10.5546875" bestFit="1" customWidth="1"/>
    <col min="6" max="6" width="11.5546875" bestFit="1" customWidth="1"/>
    <col min="7" max="7" width="15.44140625" bestFit="1" customWidth="1"/>
    <col min="8" max="8" width="10.5546875" bestFit="1" customWidth="1"/>
    <col min="9" max="9" width="11.5546875" bestFit="1" customWidth="1"/>
    <col min="10" max="10" width="9.44140625" bestFit="1" customWidth="1"/>
    <col min="11" max="11" width="12.5546875" bestFit="1" customWidth="1"/>
    <col min="12" max="12" width="15.109375" bestFit="1" customWidth="1"/>
    <col min="14" max="14" width="14.33203125" bestFit="1" customWidth="1"/>
    <col min="15" max="15" width="9.5546875" bestFit="1" customWidth="1"/>
    <col min="16" max="16" width="9.44140625" bestFit="1" customWidth="1"/>
    <col min="17" max="17" width="10.6640625" bestFit="1" customWidth="1"/>
    <col min="18" max="18" width="10.44140625" bestFit="1" customWidth="1"/>
    <col min="20" max="20" width="14.33203125" bestFit="1" customWidth="1"/>
  </cols>
  <sheetData>
    <row r="1" spans="1:20" x14ac:dyDescent="0.3">
      <c r="D1" s="4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N1" s="4" t="s">
        <v>33</v>
      </c>
      <c r="O1" s="9" t="s">
        <v>24</v>
      </c>
      <c r="P1" s="9" t="s">
        <v>23</v>
      </c>
      <c r="Q1" s="9" t="s">
        <v>26</v>
      </c>
      <c r="R1" s="9" t="s">
        <v>22</v>
      </c>
    </row>
    <row r="2" spans="1:20" x14ac:dyDescent="0.3">
      <c r="B2" s="1" t="s">
        <v>0</v>
      </c>
      <c r="D2" s="10" t="s">
        <v>27</v>
      </c>
      <c r="E2" s="8">
        <v>0</v>
      </c>
      <c r="F2" s="8">
        <v>0</v>
      </c>
      <c r="G2" s="8">
        <v>54</v>
      </c>
      <c r="H2" s="8">
        <v>0</v>
      </c>
      <c r="I2" s="8">
        <v>1094</v>
      </c>
      <c r="J2" s="8">
        <v>0</v>
      </c>
      <c r="K2" s="8">
        <v>0</v>
      </c>
      <c r="N2" s="9" t="s">
        <v>27</v>
      </c>
    </row>
    <row r="3" spans="1:20" x14ac:dyDescent="0.3">
      <c r="A3" s="1" t="s">
        <v>1</v>
      </c>
      <c r="B3" s="2">
        <v>1434</v>
      </c>
      <c r="D3" s="10" t="s">
        <v>1</v>
      </c>
      <c r="E3" s="8">
        <v>0</v>
      </c>
      <c r="F3" s="8">
        <v>0</v>
      </c>
      <c r="G3" s="8">
        <v>54</v>
      </c>
      <c r="H3" s="8">
        <v>0</v>
      </c>
      <c r="I3" s="8">
        <v>1820</v>
      </c>
      <c r="J3" s="8">
        <v>0</v>
      </c>
      <c r="K3" s="8">
        <v>2160</v>
      </c>
      <c r="N3" s="9" t="s">
        <v>1</v>
      </c>
      <c r="O3">
        <f t="shared" ref="O3:O8" si="0">I2+K3-B3-I3</f>
        <v>0</v>
      </c>
      <c r="P3">
        <f t="shared" ref="P3:P8" si="1">G3*$B$12-H3</f>
        <v>1458</v>
      </c>
      <c r="Q3">
        <f>G3*160/4 + H3/4 - K3</f>
        <v>0</v>
      </c>
      <c r="R3">
        <f>G2+E3-F3-G3</f>
        <v>0</v>
      </c>
    </row>
    <row r="4" spans="1:20" x14ac:dyDescent="0.3">
      <c r="A4" s="1" t="s">
        <v>2</v>
      </c>
      <c r="B4" s="2">
        <v>2539</v>
      </c>
      <c r="D4" s="10" t="s">
        <v>2</v>
      </c>
      <c r="E4" s="8">
        <v>18</v>
      </c>
      <c r="F4" s="8">
        <v>0</v>
      </c>
      <c r="G4" s="8">
        <v>72</v>
      </c>
      <c r="H4" s="8">
        <v>0</v>
      </c>
      <c r="I4" s="8">
        <v>2161</v>
      </c>
      <c r="J4" s="8">
        <v>0</v>
      </c>
      <c r="K4" s="8">
        <v>2880</v>
      </c>
      <c r="N4" s="9" t="s">
        <v>2</v>
      </c>
      <c r="O4">
        <f t="shared" si="0"/>
        <v>0</v>
      </c>
      <c r="P4">
        <f t="shared" si="1"/>
        <v>1944</v>
      </c>
      <c r="Q4">
        <f t="shared" ref="Q4:Q8" si="2">G4*160/4 + H4/4 - K4</f>
        <v>0</v>
      </c>
      <c r="R4">
        <f t="shared" ref="R4:R8" si="3">G3+E4-F4-G4</f>
        <v>0</v>
      </c>
    </row>
    <row r="5" spans="1:20" x14ac:dyDescent="0.3">
      <c r="A5" s="1" t="s">
        <v>3</v>
      </c>
      <c r="B5" s="2">
        <v>4187</v>
      </c>
      <c r="D5" s="10" t="s">
        <v>3</v>
      </c>
      <c r="E5" s="8">
        <v>0</v>
      </c>
      <c r="F5" s="8">
        <v>0</v>
      </c>
      <c r="G5" s="8">
        <v>72</v>
      </c>
      <c r="H5" s="8">
        <v>0</v>
      </c>
      <c r="I5" s="8">
        <v>854</v>
      </c>
      <c r="J5" s="8">
        <v>0</v>
      </c>
      <c r="K5" s="8">
        <v>2880</v>
      </c>
      <c r="N5" s="9" t="s">
        <v>3</v>
      </c>
      <c r="O5">
        <f t="shared" si="0"/>
        <v>0</v>
      </c>
      <c r="P5">
        <f t="shared" si="1"/>
        <v>1944</v>
      </c>
      <c r="Q5">
        <f t="shared" si="2"/>
        <v>0</v>
      </c>
      <c r="R5">
        <f t="shared" si="3"/>
        <v>0</v>
      </c>
    </row>
    <row r="6" spans="1:20" x14ac:dyDescent="0.3">
      <c r="A6" s="1" t="s">
        <v>4</v>
      </c>
      <c r="B6" s="2">
        <v>3762</v>
      </c>
      <c r="D6" s="10" t="s">
        <v>4</v>
      </c>
      <c r="E6" s="8">
        <v>0</v>
      </c>
      <c r="F6" s="8">
        <v>0</v>
      </c>
      <c r="G6" s="8">
        <v>72</v>
      </c>
      <c r="H6" s="8">
        <v>112</v>
      </c>
      <c r="I6" s="8">
        <v>0</v>
      </c>
      <c r="J6" s="8">
        <v>0</v>
      </c>
      <c r="K6" s="8">
        <v>2908</v>
      </c>
      <c r="N6" s="9" t="s">
        <v>4</v>
      </c>
      <c r="O6">
        <f t="shared" si="0"/>
        <v>0</v>
      </c>
      <c r="P6">
        <f t="shared" si="1"/>
        <v>1832</v>
      </c>
      <c r="Q6">
        <f t="shared" si="2"/>
        <v>0</v>
      </c>
      <c r="R6">
        <f t="shared" si="3"/>
        <v>0</v>
      </c>
    </row>
    <row r="7" spans="1:20" x14ac:dyDescent="0.3">
      <c r="A7" s="1" t="s">
        <v>5</v>
      </c>
      <c r="B7" s="2">
        <v>2200</v>
      </c>
      <c r="D7" s="10" t="s">
        <v>5</v>
      </c>
      <c r="E7" s="8">
        <v>0</v>
      </c>
      <c r="F7" s="8">
        <v>17</v>
      </c>
      <c r="G7" s="8">
        <v>55</v>
      </c>
      <c r="H7" s="8">
        <v>0</v>
      </c>
      <c r="I7" s="8">
        <v>0</v>
      </c>
      <c r="J7" s="8">
        <v>0</v>
      </c>
      <c r="K7" s="8">
        <v>2200</v>
      </c>
      <c r="N7" s="9" t="s">
        <v>5</v>
      </c>
      <c r="O7">
        <f t="shared" si="0"/>
        <v>0</v>
      </c>
      <c r="P7">
        <f t="shared" si="1"/>
        <v>1485</v>
      </c>
      <c r="Q7">
        <f t="shared" si="2"/>
        <v>0</v>
      </c>
      <c r="R7">
        <f t="shared" si="3"/>
        <v>0</v>
      </c>
    </row>
    <row r="8" spans="1:20" x14ac:dyDescent="0.3">
      <c r="A8" s="1" t="s">
        <v>6</v>
      </c>
      <c r="B8" s="2">
        <v>2167</v>
      </c>
      <c r="D8" s="10" t="s">
        <v>6</v>
      </c>
      <c r="E8" s="8">
        <v>0</v>
      </c>
      <c r="F8" s="8">
        <v>1</v>
      </c>
      <c r="G8" s="8">
        <v>54</v>
      </c>
      <c r="H8" s="8">
        <v>28</v>
      </c>
      <c r="I8" s="8">
        <v>0</v>
      </c>
      <c r="J8" s="8">
        <v>0</v>
      </c>
      <c r="K8" s="8">
        <v>2167</v>
      </c>
      <c r="N8" s="9" t="s">
        <v>6</v>
      </c>
      <c r="O8">
        <f t="shared" si="0"/>
        <v>0</v>
      </c>
      <c r="P8">
        <f t="shared" si="1"/>
        <v>1430</v>
      </c>
      <c r="Q8">
        <f t="shared" si="2"/>
        <v>0</v>
      </c>
      <c r="R8">
        <f t="shared" si="3"/>
        <v>0</v>
      </c>
    </row>
    <row r="10" spans="1:20" x14ac:dyDescent="0.3">
      <c r="A10" s="3" t="s">
        <v>7</v>
      </c>
      <c r="B10" s="2">
        <v>17</v>
      </c>
      <c r="D10" s="4" t="s">
        <v>28</v>
      </c>
      <c r="E10" s="9" t="s">
        <v>29</v>
      </c>
      <c r="F10" s="9" t="s">
        <v>30</v>
      </c>
      <c r="G10" s="9" t="s">
        <v>34</v>
      </c>
      <c r="H10" s="9" t="s">
        <v>23</v>
      </c>
      <c r="I10" s="9" t="s">
        <v>24</v>
      </c>
      <c r="J10" s="9" t="s">
        <v>31</v>
      </c>
      <c r="K10" s="9" t="s">
        <v>26</v>
      </c>
      <c r="L10" s="6" t="s">
        <v>32</v>
      </c>
    </row>
    <row r="11" spans="1:20" x14ac:dyDescent="0.3">
      <c r="A11" s="3" t="s">
        <v>8</v>
      </c>
      <c r="B11" s="2">
        <v>27</v>
      </c>
      <c r="D11" s="10" t="s">
        <v>27</v>
      </c>
      <c r="E11" s="11"/>
      <c r="F11" s="12"/>
      <c r="G11" s="12"/>
      <c r="H11" s="12"/>
      <c r="I11" s="12"/>
      <c r="J11" s="12"/>
      <c r="K11" s="12"/>
      <c r="L11" s="13"/>
      <c r="T11" s="5">
        <f>MIN($L$20)</f>
        <v>6220629</v>
      </c>
    </row>
    <row r="12" spans="1:20" x14ac:dyDescent="0.3">
      <c r="A12" s="3" t="s">
        <v>9</v>
      </c>
      <c r="B12" s="2">
        <v>27</v>
      </c>
      <c r="D12" s="10" t="s">
        <v>1</v>
      </c>
      <c r="E12" s="25">
        <f t="shared" ref="E12:E17" si="4">E3*$B$15</f>
        <v>0</v>
      </c>
      <c r="F12" s="25">
        <f t="shared" ref="F12:F17" si="5">F3*$B$16</f>
        <v>0</v>
      </c>
      <c r="G12" s="25">
        <f t="shared" ref="G12:G17" si="6">G3*$B$10*160</f>
        <v>146880</v>
      </c>
      <c r="H12" s="25">
        <f t="shared" ref="H12:H17" si="7">H3*$B$11</f>
        <v>0</v>
      </c>
      <c r="I12" s="25">
        <f t="shared" ref="I12:I17" si="8">I3*$B$18</f>
        <v>25480</v>
      </c>
      <c r="J12" s="25">
        <f t="shared" ref="J12:J17" si="9">J3*$B$21</f>
        <v>0</v>
      </c>
      <c r="K12" s="25">
        <f t="shared" ref="K12:K17" si="10">K3*$B$17</f>
        <v>723600</v>
      </c>
      <c r="L12" s="25">
        <f t="shared" ref="L12:L17" si="11">SUM(E12:K12)</f>
        <v>895960</v>
      </c>
      <c r="T12">
        <f>COUNT($E$3:$K$8)</f>
        <v>42</v>
      </c>
    </row>
    <row r="13" spans="1:20" x14ac:dyDescent="0.3">
      <c r="A13" s="3" t="s">
        <v>10</v>
      </c>
      <c r="B13" s="2">
        <v>54</v>
      </c>
      <c r="D13" s="10" t="s">
        <v>2</v>
      </c>
      <c r="E13" s="25">
        <f t="shared" si="4"/>
        <v>9774</v>
      </c>
      <c r="F13" s="25">
        <f t="shared" si="5"/>
        <v>0</v>
      </c>
      <c r="G13" s="25">
        <f t="shared" si="6"/>
        <v>195840</v>
      </c>
      <c r="H13" s="25">
        <f t="shared" si="7"/>
        <v>0</v>
      </c>
      <c r="I13" s="25">
        <f t="shared" si="8"/>
        <v>30254</v>
      </c>
      <c r="J13" s="25">
        <f t="shared" si="9"/>
        <v>0</v>
      </c>
      <c r="K13" s="25">
        <f t="shared" si="10"/>
        <v>964800</v>
      </c>
      <c r="L13" s="25">
        <f t="shared" si="11"/>
        <v>1200668</v>
      </c>
      <c r="T13" t="b">
        <f t="array" ref="T13">$E$3:$E$8&lt;=$B$14</f>
        <v>1</v>
      </c>
    </row>
    <row r="14" spans="1:20" x14ac:dyDescent="0.3">
      <c r="A14" s="3" t="s">
        <v>11</v>
      </c>
      <c r="B14" s="2">
        <v>19</v>
      </c>
      <c r="D14" s="10" t="s">
        <v>3</v>
      </c>
      <c r="E14" s="25">
        <f t="shared" si="4"/>
        <v>0</v>
      </c>
      <c r="F14" s="25">
        <f t="shared" si="5"/>
        <v>0</v>
      </c>
      <c r="G14" s="25">
        <f t="shared" si="6"/>
        <v>195840</v>
      </c>
      <c r="H14" s="25">
        <f t="shared" si="7"/>
        <v>0</v>
      </c>
      <c r="I14" s="25">
        <f t="shared" si="8"/>
        <v>11956</v>
      </c>
      <c r="J14" s="25">
        <f t="shared" si="9"/>
        <v>0</v>
      </c>
      <c r="K14" s="25">
        <f t="shared" si="10"/>
        <v>964800</v>
      </c>
      <c r="L14" s="25">
        <f t="shared" si="11"/>
        <v>1172596</v>
      </c>
      <c r="T14" t="b">
        <f t="array" ref="T14">$E$3:$K$8=INT($E$3:$K$8)</f>
        <v>1</v>
      </c>
    </row>
    <row r="15" spans="1:20" x14ac:dyDescent="0.3">
      <c r="A15" s="3" t="s">
        <v>12</v>
      </c>
      <c r="B15" s="2">
        <v>543</v>
      </c>
      <c r="D15" s="10" t="s">
        <v>4</v>
      </c>
      <c r="E15" s="25">
        <f t="shared" si="4"/>
        <v>0</v>
      </c>
      <c r="F15" s="25">
        <f t="shared" si="5"/>
        <v>0</v>
      </c>
      <c r="G15" s="25">
        <f t="shared" si="6"/>
        <v>195840</v>
      </c>
      <c r="H15" s="25">
        <f t="shared" si="7"/>
        <v>3024</v>
      </c>
      <c r="I15" s="25">
        <f t="shared" si="8"/>
        <v>0</v>
      </c>
      <c r="J15" s="25">
        <f t="shared" si="9"/>
        <v>0</v>
      </c>
      <c r="K15" s="25">
        <f t="shared" si="10"/>
        <v>974180</v>
      </c>
      <c r="L15" s="25">
        <f t="shared" si="11"/>
        <v>1173044</v>
      </c>
      <c r="T15" t="b">
        <f t="array" ref="T15">$E$3:$K$8&gt;=0</f>
        <v>1</v>
      </c>
    </row>
    <row r="16" spans="1:20" x14ac:dyDescent="0.3">
      <c r="A16" s="3" t="s">
        <v>13</v>
      </c>
      <c r="B16" s="2">
        <v>1010</v>
      </c>
      <c r="D16" s="10" t="s">
        <v>5</v>
      </c>
      <c r="E16" s="25">
        <f t="shared" si="4"/>
        <v>0</v>
      </c>
      <c r="F16" s="25">
        <f t="shared" si="5"/>
        <v>17170</v>
      </c>
      <c r="G16" s="25">
        <f t="shared" si="6"/>
        <v>149600</v>
      </c>
      <c r="H16" s="25">
        <f t="shared" si="7"/>
        <v>0</v>
      </c>
      <c r="I16" s="25">
        <f t="shared" si="8"/>
        <v>0</v>
      </c>
      <c r="J16" s="25">
        <f t="shared" si="9"/>
        <v>0</v>
      </c>
      <c r="K16" s="25">
        <f t="shared" si="10"/>
        <v>737000</v>
      </c>
      <c r="L16" s="25">
        <f t="shared" si="11"/>
        <v>903770</v>
      </c>
      <c r="T16" t="b">
        <f t="array" ref="T16">$F$3:$F$8&lt;=$B$14</f>
        <v>1</v>
      </c>
    </row>
    <row r="17" spans="1:20" x14ac:dyDescent="0.3">
      <c r="A17" s="3" t="s">
        <v>14</v>
      </c>
      <c r="B17" s="2">
        <v>335</v>
      </c>
      <c r="D17" s="10" t="s">
        <v>6</v>
      </c>
      <c r="E17" s="25">
        <f t="shared" si="4"/>
        <v>0</v>
      </c>
      <c r="F17" s="25">
        <f t="shared" si="5"/>
        <v>1010</v>
      </c>
      <c r="G17" s="25">
        <f t="shared" si="6"/>
        <v>146880</v>
      </c>
      <c r="H17" s="25">
        <f t="shared" si="7"/>
        <v>756</v>
      </c>
      <c r="I17" s="25">
        <f t="shared" si="8"/>
        <v>0</v>
      </c>
      <c r="J17" s="25">
        <f t="shared" si="9"/>
        <v>0</v>
      </c>
      <c r="K17" s="25">
        <f t="shared" si="10"/>
        <v>725945</v>
      </c>
      <c r="L17" s="25">
        <f t="shared" si="11"/>
        <v>874591</v>
      </c>
      <c r="T17" t="b">
        <f t="array" ref="T17">$G$3:$G$8&lt;=73</f>
        <v>1</v>
      </c>
    </row>
    <row r="18" spans="1:20" x14ac:dyDescent="0.3">
      <c r="A18" s="3" t="s">
        <v>15</v>
      </c>
      <c r="B18" s="2">
        <v>14</v>
      </c>
      <c r="T18" t="b">
        <f t="array" ref="T18">$G$3:$G$8&gt;=$B$13</f>
        <v>1</v>
      </c>
    </row>
    <row r="19" spans="1:20" x14ac:dyDescent="0.3">
      <c r="A19" s="3" t="s">
        <v>16</v>
      </c>
      <c r="B19" s="2">
        <v>1094</v>
      </c>
      <c r="K19" s="16" t="s">
        <v>170</v>
      </c>
      <c r="L19" s="17">
        <f>SUM(B3:B8)*B21</f>
        <v>13796783</v>
      </c>
      <c r="T19" t="b">
        <f>$I$8=0</f>
        <v>1</v>
      </c>
    </row>
    <row r="20" spans="1:20" x14ac:dyDescent="0.3">
      <c r="A20" s="3" t="s">
        <v>17</v>
      </c>
      <c r="B20" s="2">
        <v>461</v>
      </c>
      <c r="K20" s="15" t="s">
        <v>43</v>
      </c>
      <c r="L20" s="14">
        <f>SUM(L11:L17)</f>
        <v>6220629</v>
      </c>
      <c r="T20" t="b">
        <f t="array" ref="T20">$O$3:$O$8=0</f>
        <v>1</v>
      </c>
    </row>
    <row r="21" spans="1:20" x14ac:dyDescent="0.3">
      <c r="A21" s="3" t="s">
        <v>18</v>
      </c>
      <c r="B21" s="2">
        <v>847</v>
      </c>
      <c r="K21" s="18" t="s">
        <v>169</v>
      </c>
      <c r="L21" s="19">
        <f>L19-L20</f>
        <v>7576154</v>
      </c>
      <c r="T21" t="b">
        <f t="array" ref="T21">$P$3:$Q$8&gt;=0</f>
        <v>1</v>
      </c>
    </row>
    <row r="22" spans="1:20" x14ac:dyDescent="0.3">
      <c r="T22" t="b">
        <f t="array" ref="T22">$R$3:$R$8=0</f>
        <v>1</v>
      </c>
    </row>
    <row r="23" spans="1:20" x14ac:dyDescent="0.3">
      <c r="T23">
        <f>{32767,32767,0.000001,0.01,TRUE,FALSE,FALSE,1,2,1,0.0001,TRUE}</f>
        <v>32767</v>
      </c>
    </row>
    <row r="24" spans="1:20" x14ac:dyDescent="0.3">
      <c r="T24">
        <f>{0,0,2,100,0,FALSE,FALSE,0.075,0,0,FALSE,30}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D53C-3940-4076-8A8B-428C92E09E16}">
  <dimension ref="A1:H99"/>
  <sheetViews>
    <sheetView showGridLines="0" tabSelected="1" topLeftCell="A76" zoomScale="104" workbookViewId="0">
      <selection activeCell="E9" sqref="E9"/>
    </sheetView>
  </sheetViews>
  <sheetFormatPr defaultRowHeight="14.4" x14ac:dyDescent="0.3"/>
  <cols>
    <col min="1" max="1" width="33.44140625" bestFit="1" customWidth="1"/>
    <col min="2" max="2" width="5.33203125" bestFit="1" customWidth="1"/>
    <col min="3" max="3" width="13.6640625" bestFit="1" customWidth="1"/>
    <col min="4" max="4" width="9" bestFit="1" customWidth="1"/>
    <col min="5" max="5" width="8.6640625" bestFit="1" customWidth="1"/>
    <col min="6" max="6" width="10.109375" bestFit="1" customWidth="1"/>
    <col min="7" max="8" width="12" bestFit="1" customWidth="1"/>
  </cols>
  <sheetData>
    <row r="1" spans="1:8" x14ac:dyDescent="0.3">
      <c r="A1" s="1" t="s">
        <v>35</v>
      </c>
    </row>
    <row r="2" spans="1:8" x14ac:dyDescent="0.3">
      <c r="A2" s="1" t="s">
        <v>36</v>
      </c>
    </row>
    <row r="3" spans="1:8" x14ac:dyDescent="0.3">
      <c r="A3" s="1" t="s">
        <v>178</v>
      </c>
    </row>
    <row r="6" spans="1:8" ht="15" thickBot="1" x14ac:dyDescent="0.35">
      <c r="A6" t="s">
        <v>37</v>
      </c>
    </row>
    <row r="7" spans="1:8" x14ac:dyDescent="0.3">
      <c r="B7" s="33"/>
      <c r="C7" s="33"/>
      <c r="D7" s="33" t="s">
        <v>40</v>
      </c>
      <c r="E7" s="33" t="s">
        <v>42</v>
      </c>
      <c r="F7" s="33" t="s">
        <v>44</v>
      </c>
      <c r="G7" s="33" t="s">
        <v>46</v>
      </c>
      <c r="H7" s="33" t="s">
        <v>46</v>
      </c>
    </row>
    <row r="8" spans="1:8" ht="15" thickBot="1" x14ac:dyDescent="0.35">
      <c r="B8" s="34" t="s">
        <v>38</v>
      </c>
      <c r="C8" s="34" t="s">
        <v>39</v>
      </c>
      <c r="D8" s="34" t="s">
        <v>41</v>
      </c>
      <c r="E8" s="34" t="s">
        <v>43</v>
      </c>
      <c r="F8" s="34" t="s">
        <v>45</v>
      </c>
      <c r="G8" s="34" t="s">
        <v>47</v>
      </c>
      <c r="H8" s="34" t="s">
        <v>48</v>
      </c>
    </row>
    <row r="9" spans="1:8" x14ac:dyDescent="0.3">
      <c r="B9" s="31" t="s">
        <v>53</v>
      </c>
      <c r="C9" s="31" t="s">
        <v>54</v>
      </c>
      <c r="D9" s="31">
        <v>0</v>
      </c>
      <c r="E9" s="31">
        <v>-559.99999999999989</v>
      </c>
      <c r="F9" s="31">
        <v>-543</v>
      </c>
      <c r="G9" s="31">
        <v>559.99999999999989</v>
      </c>
      <c r="H9" s="31">
        <v>1E+30</v>
      </c>
    </row>
    <row r="10" spans="1:8" x14ac:dyDescent="0.3">
      <c r="B10" s="31" t="s">
        <v>55</v>
      </c>
      <c r="C10" s="31" t="s">
        <v>56</v>
      </c>
      <c r="D10" s="31">
        <v>0</v>
      </c>
      <c r="E10" s="31">
        <v>-993.00000000000011</v>
      </c>
      <c r="F10" s="31">
        <v>-1010</v>
      </c>
      <c r="G10" s="31">
        <v>993.00000000000011</v>
      </c>
      <c r="H10" s="31">
        <v>1E+30</v>
      </c>
    </row>
    <row r="11" spans="1:8" x14ac:dyDescent="0.3">
      <c r="B11" s="31" t="s">
        <v>57</v>
      </c>
      <c r="C11" s="31" t="s">
        <v>58</v>
      </c>
      <c r="D11" s="31">
        <v>54</v>
      </c>
      <c r="E11" s="31">
        <v>0</v>
      </c>
      <c r="F11" s="31">
        <v>-2720</v>
      </c>
      <c r="G11" s="31">
        <v>559.99999999999989</v>
      </c>
      <c r="H11" s="31">
        <v>993.00000000000011</v>
      </c>
    </row>
    <row r="12" spans="1:8" x14ac:dyDescent="0.3">
      <c r="B12" s="31" t="s">
        <v>59</v>
      </c>
      <c r="C12" s="31" t="s">
        <v>60</v>
      </c>
      <c r="D12" s="31">
        <v>0</v>
      </c>
      <c r="E12" s="31">
        <v>-13.499999999999996</v>
      </c>
      <c r="F12" s="31">
        <v>-27</v>
      </c>
      <c r="G12" s="31">
        <v>13.499999999999996</v>
      </c>
      <c r="H12" s="31">
        <v>1E+30</v>
      </c>
    </row>
    <row r="13" spans="1:8" x14ac:dyDescent="0.3">
      <c r="B13" s="31" t="s">
        <v>61</v>
      </c>
      <c r="C13" s="31" t="s">
        <v>62</v>
      </c>
      <c r="D13" s="31">
        <v>1820</v>
      </c>
      <c r="E13" s="31">
        <v>0</v>
      </c>
      <c r="F13" s="31">
        <v>-14</v>
      </c>
      <c r="G13" s="31">
        <v>13.999999999999996</v>
      </c>
      <c r="H13" s="31">
        <v>24.825000000000003</v>
      </c>
    </row>
    <row r="14" spans="1:8" x14ac:dyDescent="0.3">
      <c r="B14" s="31" t="s">
        <v>63</v>
      </c>
      <c r="C14" s="31" t="s">
        <v>64</v>
      </c>
      <c r="D14" s="31">
        <v>0</v>
      </c>
      <c r="E14" s="31">
        <v>-847</v>
      </c>
      <c r="F14" s="31">
        <v>-847</v>
      </c>
      <c r="G14" s="31">
        <v>847</v>
      </c>
      <c r="H14" s="31">
        <v>1E+30</v>
      </c>
    </row>
    <row r="15" spans="1:8" x14ac:dyDescent="0.3">
      <c r="B15" s="31" t="s">
        <v>65</v>
      </c>
      <c r="C15" s="31" t="s">
        <v>66</v>
      </c>
      <c r="D15" s="31">
        <v>2160</v>
      </c>
      <c r="E15" s="31">
        <v>0</v>
      </c>
      <c r="F15" s="31">
        <v>-335</v>
      </c>
      <c r="G15" s="31">
        <v>13.999999999999996</v>
      </c>
      <c r="H15" s="31">
        <v>24.825000000000003</v>
      </c>
    </row>
    <row r="16" spans="1:8" x14ac:dyDescent="0.3">
      <c r="B16" s="31" t="s">
        <v>67</v>
      </c>
      <c r="C16" s="31" t="s">
        <v>68</v>
      </c>
      <c r="D16" s="31">
        <v>16.700000000000003</v>
      </c>
      <c r="E16" s="31">
        <v>0</v>
      </c>
      <c r="F16" s="31">
        <v>-543</v>
      </c>
      <c r="G16" s="31">
        <v>63.500000000000064</v>
      </c>
      <c r="H16" s="31">
        <v>280</v>
      </c>
    </row>
    <row r="17" spans="2:8" x14ac:dyDescent="0.3">
      <c r="B17" s="31" t="s">
        <v>69</v>
      </c>
      <c r="C17" s="31" t="s">
        <v>70</v>
      </c>
      <c r="D17" s="31">
        <v>0</v>
      </c>
      <c r="E17" s="31">
        <v>-1553</v>
      </c>
      <c r="F17" s="31">
        <v>-1010</v>
      </c>
      <c r="G17" s="31">
        <v>1553</v>
      </c>
      <c r="H17" s="31">
        <v>1E+30</v>
      </c>
    </row>
    <row r="18" spans="2:8" x14ac:dyDescent="0.3">
      <c r="B18" s="31" t="s">
        <v>71</v>
      </c>
      <c r="C18" s="31" t="s">
        <v>72</v>
      </c>
      <c r="D18" s="31">
        <v>70.7</v>
      </c>
      <c r="E18" s="31">
        <v>0</v>
      </c>
      <c r="F18" s="31">
        <v>-2720</v>
      </c>
      <c r="G18" s="31">
        <v>63.500000000000064</v>
      </c>
      <c r="H18" s="31">
        <v>433.00000000000006</v>
      </c>
    </row>
    <row r="19" spans="2:8" x14ac:dyDescent="0.3">
      <c r="B19" s="31" t="s">
        <v>73</v>
      </c>
      <c r="C19" s="31" t="s">
        <v>74</v>
      </c>
      <c r="D19" s="31">
        <v>0</v>
      </c>
      <c r="E19" s="31">
        <v>-9.9999999999999964</v>
      </c>
      <c r="F19" s="31">
        <v>-27</v>
      </c>
      <c r="G19" s="31">
        <v>9.9999999999999964</v>
      </c>
      <c r="H19" s="31">
        <v>1E+30</v>
      </c>
    </row>
    <row r="20" spans="2:8" x14ac:dyDescent="0.3">
      <c r="B20" s="31" t="s">
        <v>75</v>
      </c>
      <c r="C20" s="31" t="s">
        <v>76</v>
      </c>
      <c r="D20" s="31">
        <v>2109</v>
      </c>
      <c r="E20" s="31">
        <v>0</v>
      </c>
      <c r="F20" s="31">
        <v>-14</v>
      </c>
      <c r="G20" s="31">
        <v>1.5875000000000015</v>
      </c>
      <c r="H20" s="31">
        <v>10.825000000000001</v>
      </c>
    </row>
    <row r="21" spans="2:8" x14ac:dyDescent="0.3">
      <c r="B21" s="31" t="s">
        <v>77</v>
      </c>
      <c r="C21" s="31" t="s">
        <v>78</v>
      </c>
      <c r="D21" s="31">
        <v>0</v>
      </c>
      <c r="E21" s="31">
        <v>-847</v>
      </c>
      <c r="F21" s="31">
        <v>-847</v>
      </c>
      <c r="G21" s="31">
        <v>847</v>
      </c>
      <c r="H21" s="31">
        <v>1E+30</v>
      </c>
    </row>
    <row r="22" spans="2:8" x14ac:dyDescent="0.3">
      <c r="B22" s="31" t="s">
        <v>79</v>
      </c>
      <c r="C22" s="31" t="s">
        <v>80</v>
      </c>
      <c r="D22" s="31">
        <v>2828</v>
      </c>
      <c r="E22" s="31">
        <v>0</v>
      </c>
      <c r="F22" s="31">
        <v>-335</v>
      </c>
      <c r="G22" s="31">
        <v>1.5875000000000015</v>
      </c>
      <c r="H22" s="31">
        <v>10.825000000000003</v>
      </c>
    </row>
    <row r="23" spans="2:8" x14ac:dyDescent="0.3">
      <c r="B23" s="31" t="s">
        <v>81</v>
      </c>
      <c r="C23" s="31" t="s">
        <v>82</v>
      </c>
      <c r="D23" s="31">
        <v>2.2999999999999994</v>
      </c>
      <c r="E23" s="31">
        <v>0</v>
      </c>
      <c r="F23" s="31">
        <v>-543</v>
      </c>
      <c r="G23" s="31">
        <v>433.00000000000006</v>
      </c>
      <c r="H23" s="31">
        <v>42.333333333333371</v>
      </c>
    </row>
    <row r="24" spans="2:8" x14ac:dyDescent="0.3">
      <c r="B24" s="31" t="s">
        <v>83</v>
      </c>
      <c r="C24" s="31" t="s">
        <v>84</v>
      </c>
      <c r="D24" s="31">
        <v>0</v>
      </c>
      <c r="E24" s="31">
        <v>-1553</v>
      </c>
      <c r="F24" s="31">
        <v>-1010</v>
      </c>
      <c r="G24" s="31">
        <v>1553</v>
      </c>
      <c r="H24" s="31">
        <v>1E+30</v>
      </c>
    </row>
    <row r="25" spans="2:8" x14ac:dyDescent="0.3">
      <c r="B25" s="31" t="s">
        <v>85</v>
      </c>
      <c r="C25" s="31" t="s">
        <v>86</v>
      </c>
      <c r="D25" s="31">
        <v>73</v>
      </c>
      <c r="E25" s="31">
        <v>0</v>
      </c>
      <c r="F25" s="31">
        <v>-2720</v>
      </c>
      <c r="G25" s="31">
        <v>1E+30</v>
      </c>
      <c r="H25" s="31">
        <v>127.0000000000001</v>
      </c>
    </row>
    <row r="26" spans="2:8" x14ac:dyDescent="0.3">
      <c r="B26" s="31" t="s">
        <v>87</v>
      </c>
      <c r="C26" s="31" t="s">
        <v>88</v>
      </c>
      <c r="D26" s="31">
        <v>0</v>
      </c>
      <c r="E26" s="31">
        <v>-6.4999999999999973</v>
      </c>
      <c r="F26" s="31">
        <v>-27</v>
      </c>
      <c r="G26" s="31">
        <v>6.4999999999999973</v>
      </c>
      <c r="H26" s="31">
        <v>1E+30</v>
      </c>
    </row>
    <row r="27" spans="2:8" x14ac:dyDescent="0.3">
      <c r="B27" s="31" t="s">
        <v>89</v>
      </c>
      <c r="C27" s="31" t="s">
        <v>90</v>
      </c>
      <c r="D27" s="31">
        <v>842</v>
      </c>
      <c r="E27" s="31">
        <v>0</v>
      </c>
      <c r="F27" s="31">
        <v>-14</v>
      </c>
      <c r="G27" s="31">
        <v>3.1750000000000029</v>
      </c>
      <c r="H27" s="31">
        <v>10.824999999999999</v>
      </c>
    </row>
    <row r="28" spans="2:8" x14ac:dyDescent="0.3">
      <c r="B28" s="31" t="s">
        <v>91</v>
      </c>
      <c r="C28" s="31" t="s">
        <v>92</v>
      </c>
      <c r="D28" s="31">
        <v>0</v>
      </c>
      <c r="E28" s="31">
        <v>-847</v>
      </c>
      <c r="F28" s="31">
        <v>-847</v>
      </c>
      <c r="G28" s="31">
        <v>847</v>
      </c>
      <c r="H28" s="31">
        <v>1E+30</v>
      </c>
    </row>
    <row r="29" spans="2:8" x14ac:dyDescent="0.3">
      <c r="B29" s="31" t="s">
        <v>93</v>
      </c>
      <c r="C29" s="31" t="s">
        <v>94</v>
      </c>
      <c r="D29" s="31">
        <v>2920</v>
      </c>
      <c r="E29" s="31">
        <v>0</v>
      </c>
      <c r="F29" s="31">
        <v>-335</v>
      </c>
      <c r="G29" s="31">
        <v>25.999999999999993</v>
      </c>
      <c r="H29" s="31">
        <v>3.1750000000000029</v>
      </c>
    </row>
    <row r="30" spans="2:8" x14ac:dyDescent="0.3">
      <c r="B30" s="31" t="s">
        <v>95</v>
      </c>
      <c r="C30" s="31" t="s">
        <v>96</v>
      </c>
      <c r="D30" s="31">
        <v>0</v>
      </c>
      <c r="E30" s="31">
        <v>-432.99999999999994</v>
      </c>
      <c r="F30" s="31">
        <v>-543</v>
      </c>
      <c r="G30" s="31">
        <v>432.99999999999994</v>
      </c>
      <c r="H30" s="31">
        <v>1E+30</v>
      </c>
    </row>
    <row r="31" spans="2:8" x14ac:dyDescent="0.3">
      <c r="B31" s="31" t="s">
        <v>97</v>
      </c>
      <c r="C31" s="31" t="s">
        <v>98</v>
      </c>
      <c r="D31" s="31">
        <v>0</v>
      </c>
      <c r="E31" s="31">
        <v>-1120</v>
      </c>
      <c r="F31" s="31">
        <v>-1010</v>
      </c>
      <c r="G31" s="31">
        <v>1120</v>
      </c>
      <c r="H31" s="31">
        <v>1E+30</v>
      </c>
    </row>
    <row r="32" spans="2:8" x14ac:dyDescent="0.3">
      <c r="B32" s="31" t="s">
        <v>99</v>
      </c>
      <c r="C32" s="31" t="s">
        <v>100</v>
      </c>
      <c r="D32" s="31">
        <v>73</v>
      </c>
      <c r="E32" s="31">
        <v>0</v>
      </c>
      <c r="F32" s="31">
        <v>-2720</v>
      </c>
      <c r="G32" s="31">
        <v>432.99999999999994</v>
      </c>
      <c r="H32" s="31">
        <v>127.0000000000001</v>
      </c>
    </row>
    <row r="33" spans="2:8" x14ac:dyDescent="0.3">
      <c r="B33" s="31" t="s">
        <v>101</v>
      </c>
      <c r="C33" s="31" t="s">
        <v>102</v>
      </c>
      <c r="D33" s="31">
        <v>0</v>
      </c>
      <c r="E33" s="31">
        <v>-2.9999999999999973</v>
      </c>
      <c r="F33" s="31">
        <v>-27</v>
      </c>
      <c r="G33" s="31">
        <v>2.9999999999999973</v>
      </c>
      <c r="H33" s="31">
        <v>1E+30</v>
      </c>
    </row>
    <row r="34" spans="2:8" x14ac:dyDescent="0.3">
      <c r="B34" s="31" t="s">
        <v>103</v>
      </c>
      <c r="C34" s="31" t="s">
        <v>104</v>
      </c>
      <c r="D34" s="31">
        <v>0</v>
      </c>
      <c r="E34" s="31">
        <v>-42.000000000000014</v>
      </c>
      <c r="F34" s="31">
        <v>-14</v>
      </c>
      <c r="G34" s="31">
        <v>42.000000000000014</v>
      </c>
      <c r="H34" s="31">
        <v>1E+30</v>
      </c>
    </row>
    <row r="35" spans="2:8" x14ac:dyDescent="0.3">
      <c r="B35" s="31" t="s">
        <v>105</v>
      </c>
      <c r="C35" s="31" t="s">
        <v>106</v>
      </c>
      <c r="D35" s="31">
        <v>0</v>
      </c>
      <c r="E35" s="31">
        <v>-847</v>
      </c>
      <c r="F35" s="31">
        <v>-847</v>
      </c>
      <c r="G35" s="31">
        <v>847</v>
      </c>
      <c r="H35" s="31">
        <v>1E+30</v>
      </c>
    </row>
    <row r="36" spans="2:8" x14ac:dyDescent="0.3">
      <c r="B36" s="31" t="s">
        <v>107</v>
      </c>
      <c r="C36" s="31" t="s">
        <v>108</v>
      </c>
      <c r="D36" s="31">
        <v>2920</v>
      </c>
      <c r="E36" s="31">
        <v>0</v>
      </c>
      <c r="F36" s="31">
        <v>-335</v>
      </c>
      <c r="G36" s="31">
        <v>10.824999999999999</v>
      </c>
      <c r="H36" s="31">
        <v>3.1750000000000029</v>
      </c>
    </row>
    <row r="37" spans="2:8" x14ac:dyDescent="0.3">
      <c r="B37" s="31" t="s">
        <v>109</v>
      </c>
      <c r="C37" s="31" t="s">
        <v>110</v>
      </c>
      <c r="D37" s="31">
        <v>0</v>
      </c>
      <c r="E37" s="31">
        <v>-1553</v>
      </c>
      <c r="F37" s="31">
        <v>-543</v>
      </c>
      <c r="G37" s="31">
        <v>1553</v>
      </c>
      <c r="H37" s="31">
        <v>1E+30</v>
      </c>
    </row>
    <row r="38" spans="2:8" x14ac:dyDescent="0.3">
      <c r="B38" s="31" t="s">
        <v>111</v>
      </c>
      <c r="C38" s="31" t="s">
        <v>112</v>
      </c>
      <c r="D38" s="31">
        <v>18</v>
      </c>
      <c r="E38" s="31">
        <v>0</v>
      </c>
      <c r="F38" s="31">
        <v>-1010</v>
      </c>
      <c r="G38" s="31">
        <v>432.99999999999994</v>
      </c>
      <c r="H38" s="31">
        <v>127.0000000000001</v>
      </c>
    </row>
    <row r="39" spans="2:8" x14ac:dyDescent="0.3">
      <c r="B39" s="31" t="s">
        <v>113</v>
      </c>
      <c r="C39" s="31" t="s">
        <v>114</v>
      </c>
      <c r="D39" s="31">
        <v>55</v>
      </c>
      <c r="E39" s="31">
        <v>0</v>
      </c>
      <c r="F39" s="31">
        <v>-2720</v>
      </c>
      <c r="G39" s="31">
        <v>1570</v>
      </c>
      <c r="H39" s="31">
        <v>1600</v>
      </c>
    </row>
    <row r="40" spans="2:8" x14ac:dyDescent="0.3">
      <c r="B40" s="31" t="s">
        <v>115</v>
      </c>
      <c r="C40" s="31" t="s">
        <v>116</v>
      </c>
      <c r="D40" s="31">
        <v>0</v>
      </c>
      <c r="E40" s="31">
        <v>-10</v>
      </c>
      <c r="F40" s="31">
        <v>-27</v>
      </c>
      <c r="G40" s="31">
        <v>10</v>
      </c>
      <c r="H40" s="31">
        <v>1E+30</v>
      </c>
    </row>
    <row r="41" spans="2:8" x14ac:dyDescent="0.3">
      <c r="B41" s="31" t="s">
        <v>117</v>
      </c>
      <c r="C41" s="31" t="s">
        <v>118</v>
      </c>
      <c r="D41" s="31">
        <v>0</v>
      </c>
      <c r="E41" s="31">
        <v>-39.25</v>
      </c>
      <c r="F41" s="31">
        <v>-14</v>
      </c>
      <c r="G41" s="31">
        <v>39.25</v>
      </c>
      <c r="H41" s="31">
        <v>1E+30</v>
      </c>
    </row>
    <row r="42" spans="2:8" x14ac:dyDescent="0.3">
      <c r="B42" s="31" t="s">
        <v>119</v>
      </c>
      <c r="C42" s="31" t="s">
        <v>120</v>
      </c>
      <c r="D42" s="31">
        <v>0</v>
      </c>
      <c r="E42" s="31">
        <v>-847</v>
      </c>
      <c r="F42" s="31">
        <v>-847</v>
      </c>
      <c r="G42" s="31">
        <v>847</v>
      </c>
      <c r="H42" s="31">
        <v>1E+30</v>
      </c>
    </row>
    <row r="43" spans="2:8" x14ac:dyDescent="0.3">
      <c r="B43" s="31" t="s">
        <v>121</v>
      </c>
      <c r="C43" s="31" t="s">
        <v>122</v>
      </c>
      <c r="D43" s="31">
        <v>2200</v>
      </c>
      <c r="E43" s="31">
        <v>0</v>
      </c>
      <c r="F43" s="31">
        <v>-335</v>
      </c>
      <c r="G43" s="31">
        <v>39.25</v>
      </c>
      <c r="H43" s="31">
        <v>42.000000000000014</v>
      </c>
    </row>
    <row r="44" spans="2:8" x14ac:dyDescent="0.3">
      <c r="B44" s="31" t="s">
        <v>123</v>
      </c>
      <c r="C44" s="31" t="s">
        <v>124</v>
      </c>
      <c r="D44" s="31">
        <v>0</v>
      </c>
      <c r="E44" s="31">
        <v>-1553</v>
      </c>
      <c r="F44" s="31">
        <v>-543</v>
      </c>
      <c r="G44" s="31">
        <v>1553</v>
      </c>
      <c r="H44" s="31">
        <v>1E+30</v>
      </c>
    </row>
    <row r="45" spans="2:8" x14ac:dyDescent="0.3">
      <c r="B45" s="31" t="s">
        <v>125</v>
      </c>
      <c r="C45" s="31" t="s">
        <v>126</v>
      </c>
      <c r="D45" s="31">
        <v>0.82500000000000007</v>
      </c>
      <c r="E45" s="31">
        <v>0</v>
      </c>
      <c r="F45" s="31">
        <v>-1010</v>
      </c>
      <c r="G45" s="31">
        <v>785</v>
      </c>
      <c r="H45" s="31">
        <v>1600</v>
      </c>
    </row>
    <row r="46" spans="2:8" x14ac:dyDescent="0.3">
      <c r="B46" s="31" t="s">
        <v>127</v>
      </c>
      <c r="C46" s="31" t="s">
        <v>128</v>
      </c>
      <c r="D46" s="31">
        <v>54.174999999999997</v>
      </c>
      <c r="E46" s="31">
        <v>0</v>
      </c>
      <c r="F46" s="31">
        <v>-2720</v>
      </c>
      <c r="G46" s="31">
        <v>1710</v>
      </c>
      <c r="H46" s="31">
        <v>1570</v>
      </c>
    </row>
    <row r="47" spans="2:8" x14ac:dyDescent="0.3">
      <c r="B47" s="31" t="s">
        <v>129</v>
      </c>
      <c r="C47" s="31" t="s">
        <v>130</v>
      </c>
      <c r="D47" s="31">
        <v>0</v>
      </c>
      <c r="E47" s="31">
        <v>-16.3125</v>
      </c>
      <c r="F47" s="31">
        <v>-27</v>
      </c>
      <c r="G47" s="31">
        <v>16.3125</v>
      </c>
      <c r="H47" s="31">
        <v>1E+30</v>
      </c>
    </row>
    <row r="48" spans="2:8" x14ac:dyDescent="0.3">
      <c r="B48" s="31" t="s">
        <v>131</v>
      </c>
      <c r="C48" s="31" t="s">
        <v>132</v>
      </c>
      <c r="D48" s="31">
        <v>0</v>
      </c>
      <c r="E48" s="31">
        <v>-391.75</v>
      </c>
      <c r="F48" s="31">
        <v>-14</v>
      </c>
      <c r="G48" s="31">
        <v>391.75</v>
      </c>
      <c r="H48" s="31">
        <v>1E+30</v>
      </c>
    </row>
    <row r="49" spans="1:8" x14ac:dyDescent="0.3">
      <c r="B49" s="31" t="s">
        <v>133</v>
      </c>
      <c r="C49" s="31" t="s">
        <v>134</v>
      </c>
      <c r="D49" s="31">
        <v>0</v>
      </c>
      <c r="E49" s="31">
        <v>-847</v>
      </c>
      <c r="F49" s="31">
        <v>-847</v>
      </c>
      <c r="G49" s="31">
        <v>847</v>
      </c>
      <c r="H49" s="31">
        <v>1E+30</v>
      </c>
    </row>
    <row r="50" spans="1:8" ht="15" thickBot="1" x14ac:dyDescent="0.35">
      <c r="B50" s="32" t="s">
        <v>135</v>
      </c>
      <c r="C50" s="32" t="s">
        <v>136</v>
      </c>
      <c r="D50" s="32">
        <v>2167</v>
      </c>
      <c r="E50" s="32">
        <v>0</v>
      </c>
      <c r="F50" s="32">
        <v>-335</v>
      </c>
      <c r="G50" s="32">
        <v>391.75</v>
      </c>
      <c r="H50" s="32">
        <v>39.25</v>
      </c>
    </row>
    <row r="52" spans="1:8" ht="15" thickBot="1" x14ac:dyDescent="0.35">
      <c r="A52" t="s">
        <v>33</v>
      </c>
    </row>
    <row r="53" spans="1:8" x14ac:dyDescent="0.3">
      <c r="B53" s="33"/>
      <c r="C53" s="33"/>
      <c r="D53" s="33" t="s">
        <v>40</v>
      </c>
      <c r="E53" s="33" t="s">
        <v>49</v>
      </c>
      <c r="F53" s="33" t="s">
        <v>51</v>
      </c>
      <c r="G53" s="33" t="s">
        <v>46</v>
      </c>
      <c r="H53" s="33" t="s">
        <v>46</v>
      </c>
    </row>
    <row r="54" spans="1:8" ht="15" thickBot="1" x14ac:dyDescent="0.35">
      <c r="B54" s="34" t="s">
        <v>38</v>
      </c>
      <c r="C54" s="34" t="s">
        <v>39</v>
      </c>
      <c r="D54" s="34" t="s">
        <v>41</v>
      </c>
      <c r="E54" s="34" t="s">
        <v>50</v>
      </c>
      <c r="F54" s="34" t="s">
        <v>52</v>
      </c>
      <c r="G54" s="34" t="s">
        <v>47</v>
      </c>
      <c r="H54" s="34" t="s">
        <v>48</v>
      </c>
    </row>
    <row r="55" spans="1:8" x14ac:dyDescent="0.3">
      <c r="B55" s="31" t="s">
        <v>137</v>
      </c>
      <c r="C55" s="31" t="s">
        <v>138</v>
      </c>
      <c r="D55" s="31">
        <v>0</v>
      </c>
      <c r="E55" s="31">
        <v>0</v>
      </c>
      <c r="F55" s="31">
        <v>19</v>
      </c>
      <c r="G55" s="31">
        <v>1E+30</v>
      </c>
      <c r="H55" s="31">
        <v>19</v>
      </c>
    </row>
    <row r="56" spans="1:8" x14ac:dyDescent="0.3">
      <c r="B56" s="31" t="s">
        <v>53</v>
      </c>
      <c r="C56" s="31" t="s">
        <v>54</v>
      </c>
      <c r="D56" s="31">
        <v>0</v>
      </c>
      <c r="E56" s="31">
        <v>0</v>
      </c>
      <c r="F56" s="31">
        <v>19</v>
      </c>
      <c r="G56" s="31">
        <v>1E+30</v>
      </c>
      <c r="H56" s="31">
        <v>19</v>
      </c>
    </row>
    <row r="57" spans="1:8" x14ac:dyDescent="0.3">
      <c r="B57" s="31" t="s">
        <v>67</v>
      </c>
      <c r="C57" s="31" t="s">
        <v>68</v>
      </c>
      <c r="D57" s="31">
        <v>16.700000000000003</v>
      </c>
      <c r="E57" s="31">
        <v>0</v>
      </c>
      <c r="F57" s="31">
        <v>19</v>
      </c>
      <c r="G57" s="31">
        <v>1E+30</v>
      </c>
      <c r="H57" s="31">
        <v>2.2999999999999985</v>
      </c>
    </row>
    <row r="58" spans="1:8" x14ac:dyDescent="0.3">
      <c r="B58" s="31" t="s">
        <v>81</v>
      </c>
      <c r="C58" s="31" t="s">
        <v>82</v>
      </c>
      <c r="D58" s="31">
        <v>2.2999999999999994</v>
      </c>
      <c r="E58" s="31">
        <v>0</v>
      </c>
      <c r="F58" s="31">
        <v>19</v>
      </c>
      <c r="G58" s="31">
        <v>1E+30</v>
      </c>
      <c r="H58" s="31">
        <v>16.7</v>
      </c>
    </row>
    <row r="59" spans="1:8" x14ac:dyDescent="0.3">
      <c r="B59" s="31" t="s">
        <v>95</v>
      </c>
      <c r="C59" s="31" t="s">
        <v>96</v>
      </c>
      <c r="D59" s="31">
        <v>0</v>
      </c>
      <c r="E59" s="31">
        <v>0</v>
      </c>
      <c r="F59" s="31">
        <v>19</v>
      </c>
      <c r="G59" s="31">
        <v>1E+30</v>
      </c>
      <c r="H59" s="31">
        <v>19</v>
      </c>
    </row>
    <row r="60" spans="1:8" x14ac:dyDescent="0.3">
      <c r="B60" s="31" t="s">
        <v>109</v>
      </c>
      <c r="C60" s="31" t="s">
        <v>110</v>
      </c>
      <c r="D60" s="31">
        <v>0</v>
      </c>
      <c r="E60" s="31">
        <v>0</v>
      </c>
      <c r="F60" s="31">
        <v>19</v>
      </c>
      <c r="G60" s="31">
        <v>1E+30</v>
      </c>
      <c r="H60" s="31">
        <v>19</v>
      </c>
    </row>
    <row r="61" spans="1:8" x14ac:dyDescent="0.3">
      <c r="B61" s="31" t="s">
        <v>123</v>
      </c>
      <c r="C61" s="31" t="s">
        <v>124</v>
      </c>
      <c r="D61" s="31">
        <v>0</v>
      </c>
      <c r="E61" s="31">
        <v>0</v>
      </c>
      <c r="F61" s="31">
        <v>19</v>
      </c>
      <c r="G61" s="31">
        <v>1E+30</v>
      </c>
      <c r="H61" s="31">
        <v>19</v>
      </c>
    </row>
    <row r="62" spans="1:8" x14ac:dyDescent="0.3">
      <c r="B62" s="31" t="s">
        <v>139</v>
      </c>
      <c r="C62" s="31" t="s">
        <v>140</v>
      </c>
      <c r="D62" s="31">
        <v>0</v>
      </c>
      <c r="E62" s="31">
        <v>0</v>
      </c>
      <c r="F62" s="31">
        <v>19</v>
      </c>
      <c r="G62" s="31">
        <v>1E+30</v>
      </c>
      <c r="H62" s="31">
        <v>19</v>
      </c>
    </row>
    <row r="63" spans="1:8" x14ac:dyDescent="0.3">
      <c r="B63" s="31" t="s">
        <v>55</v>
      </c>
      <c r="C63" s="31" t="s">
        <v>56</v>
      </c>
      <c r="D63" s="31">
        <v>0</v>
      </c>
      <c r="E63" s="31">
        <v>0</v>
      </c>
      <c r="F63" s="31">
        <v>19</v>
      </c>
      <c r="G63" s="31">
        <v>1E+30</v>
      </c>
      <c r="H63" s="31">
        <v>19</v>
      </c>
    </row>
    <row r="64" spans="1:8" x14ac:dyDescent="0.3">
      <c r="B64" s="31" t="s">
        <v>69</v>
      </c>
      <c r="C64" s="31" t="s">
        <v>70</v>
      </c>
      <c r="D64" s="31">
        <v>0</v>
      </c>
      <c r="E64" s="31">
        <v>0</v>
      </c>
      <c r="F64" s="31">
        <v>19</v>
      </c>
      <c r="G64" s="31">
        <v>1E+30</v>
      </c>
      <c r="H64" s="31">
        <v>19</v>
      </c>
    </row>
    <row r="65" spans="2:8" x14ac:dyDescent="0.3">
      <c r="B65" s="31" t="s">
        <v>83</v>
      </c>
      <c r="C65" s="31" t="s">
        <v>84</v>
      </c>
      <c r="D65" s="31">
        <v>0</v>
      </c>
      <c r="E65" s="31">
        <v>0</v>
      </c>
      <c r="F65" s="31">
        <v>19</v>
      </c>
      <c r="G65" s="31">
        <v>1E+30</v>
      </c>
      <c r="H65" s="31">
        <v>19</v>
      </c>
    </row>
    <row r="66" spans="2:8" x14ac:dyDescent="0.3">
      <c r="B66" s="31" t="s">
        <v>97</v>
      </c>
      <c r="C66" s="31" t="s">
        <v>98</v>
      </c>
      <c r="D66" s="31">
        <v>0</v>
      </c>
      <c r="E66" s="31">
        <v>0</v>
      </c>
      <c r="F66" s="31">
        <v>19</v>
      </c>
      <c r="G66" s="31">
        <v>1E+30</v>
      </c>
      <c r="H66" s="31">
        <v>19</v>
      </c>
    </row>
    <row r="67" spans="2:8" x14ac:dyDescent="0.3">
      <c r="B67" s="31" t="s">
        <v>111</v>
      </c>
      <c r="C67" s="31" t="s">
        <v>112</v>
      </c>
      <c r="D67" s="31">
        <v>18</v>
      </c>
      <c r="E67" s="31">
        <v>0</v>
      </c>
      <c r="F67" s="31">
        <v>19</v>
      </c>
      <c r="G67" s="31">
        <v>1E+30</v>
      </c>
      <c r="H67" s="31">
        <v>0.99999999999999922</v>
      </c>
    </row>
    <row r="68" spans="2:8" x14ac:dyDescent="0.3">
      <c r="B68" s="31" t="s">
        <v>125</v>
      </c>
      <c r="C68" s="31" t="s">
        <v>126</v>
      </c>
      <c r="D68" s="31">
        <v>0.82500000000000007</v>
      </c>
      <c r="E68" s="31">
        <v>0</v>
      </c>
      <c r="F68" s="31">
        <v>19</v>
      </c>
      <c r="G68" s="31">
        <v>1E+30</v>
      </c>
      <c r="H68" s="31">
        <v>18.175000000000001</v>
      </c>
    </row>
    <row r="69" spans="2:8" x14ac:dyDescent="0.3">
      <c r="B69" s="31" t="s">
        <v>141</v>
      </c>
      <c r="C69" s="31" t="s">
        <v>142</v>
      </c>
      <c r="D69" s="31">
        <v>54</v>
      </c>
      <c r="E69" s="31">
        <v>0</v>
      </c>
      <c r="F69" s="31">
        <v>73</v>
      </c>
      <c r="G69" s="31">
        <v>1E+30</v>
      </c>
      <c r="H69" s="31">
        <v>19</v>
      </c>
    </row>
    <row r="70" spans="2:8" x14ac:dyDescent="0.3">
      <c r="B70" s="31" t="s">
        <v>57</v>
      </c>
      <c r="C70" s="31" t="s">
        <v>58</v>
      </c>
      <c r="D70" s="31">
        <v>54</v>
      </c>
      <c r="E70" s="31">
        <v>0</v>
      </c>
      <c r="F70" s="31">
        <v>73</v>
      </c>
      <c r="G70" s="31">
        <v>1E+30</v>
      </c>
      <c r="H70" s="31">
        <v>19</v>
      </c>
    </row>
    <row r="71" spans="2:8" x14ac:dyDescent="0.3">
      <c r="B71" s="31" t="s">
        <v>71</v>
      </c>
      <c r="C71" s="31" t="s">
        <v>72</v>
      </c>
      <c r="D71" s="31">
        <v>70.7</v>
      </c>
      <c r="E71" s="31">
        <v>0</v>
      </c>
      <c r="F71" s="31">
        <v>73</v>
      </c>
      <c r="G71" s="31">
        <v>1E+30</v>
      </c>
      <c r="H71" s="31">
        <v>2.2999999999999994</v>
      </c>
    </row>
    <row r="72" spans="2:8" x14ac:dyDescent="0.3">
      <c r="B72" s="31" t="s">
        <v>85</v>
      </c>
      <c r="C72" s="31" t="s">
        <v>86</v>
      </c>
      <c r="D72" s="31">
        <v>73</v>
      </c>
      <c r="E72" s="31">
        <v>127.0000000000001</v>
      </c>
      <c r="F72" s="31">
        <v>73</v>
      </c>
      <c r="G72" s="31">
        <v>1.1102230246251565E-16</v>
      </c>
      <c r="H72" s="31">
        <v>0.76666666666666661</v>
      </c>
    </row>
    <row r="73" spans="2:8" x14ac:dyDescent="0.3">
      <c r="B73" s="31" t="s">
        <v>99</v>
      </c>
      <c r="C73" s="31" t="s">
        <v>100</v>
      </c>
      <c r="D73" s="31">
        <v>73</v>
      </c>
      <c r="E73" s="31">
        <v>0</v>
      </c>
      <c r="F73" s="31">
        <v>73</v>
      </c>
      <c r="G73" s="31">
        <v>1E+30</v>
      </c>
      <c r="H73" s="31">
        <v>1.1102230246251565E-16</v>
      </c>
    </row>
    <row r="74" spans="2:8" x14ac:dyDescent="0.3">
      <c r="B74" s="31" t="s">
        <v>113</v>
      </c>
      <c r="C74" s="31" t="s">
        <v>114</v>
      </c>
      <c r="D74" s="31">
        <v>55</v>
      </c>
      <c r="E74" s="31">
        <v>0</v>
      </c>
      <c r="F74" s="31">
        <v>73</v>
      </c>
      <c r="G74" s="31">
        <v>1E+30</v>
      </c>
      <c r="H74" s="31">
        <v>18</v>
      </c>
    </row>
    <row r="75" spans="2:8" x14ac:dyDescent="0.3">
      <c r="B75" s="31" t="s">
        <v>127</v>
      </c>
      <c r="C75" s="31" t="s">
        <v>128</v>
      </c>
      <c r="D75" s="31">
        <v>54.174999999999997</v>
      </c>
      <c r="E75" s="31">
        <v>0</v>
      </c>
      <c r="F75" s="31">
        <v>73</v>
      </c>
      <c r="G75" s="31">
        <v>1E+30</v>
      </c>
      <c r="H75" s="31">
        <v>18.824999999999999</v>
      </c>
    </row>
    <row r="76" spans="2:8" x14ac:dyDescent="0.3">
      <c r="B76" s="31" t="s">
        <v>143</v>
      </c>
      <c r="C76" s="31" t="s">
        <v>62</v>
      </c>
      <c r="D76" s="31">
        <v>0</v>
      </c>
      <c r="E76" s="31">
        <v>-389</v>
      </c>
      <c r="F76" s="31">
        <v>0</v>
      </c>
      <c r="G76" s="31">
        <v>91.999999999999957</v>
      </c>
      <c r="H76" s="31">
        <v>668.00000000000011</v>
      </c>
    </row>
    <row r="77" spans="2:8" x14ac:dyDescent="0.3">
      <c r="B77" s="31" t="s">
        <v>144</v>
      </c>
      <c r="C77" s="31" t="s">
        <v>76</v>
      </c>
      <c r="D77" s="31">
        <v>0</v>
      </c>
      <c r="E77" s="31">
        <v>-403</v>
      </c>
      <c r="F77" s="31">
        <v>0</v>
      </c>
      <c r="G77" s="31">
        <v>91.999999999999957</v>
      </c>
      <c r="H77" s="31">
        <v>668.00000000000011</v>
      </c>
    </row>
    <row r="78" spans="2:8" x14ac:dyDescent="0.3">
      <c r="B78" s="31" t="s">
        <v>145</v>
      </c>
      <c r="C78" s="31" t="s">
        <v>90</v>
      </c>
      <c r="D78" s="31">
        <v>0</v>
      </c>
      <c r="E78" s="31">
        <v>-417</v>
      </c>
      <c r="F78" s="31">
        <v>0</v>
      </c>
      <c r="G78" s="31">
        <v>91.999999999999957</v>
      </c>
      <c r="H78" s="31">
        <v>668.00000000000011</v>
      </c>
    </row>
    <row r="79" spans="2:8" x14ac:dyDescent="0.3">
      <c r="B79" s="31" t="s">
        <v>146</v>
      </c>
      <c r="C79" s="31" t="s">
        <v>104</v>
      </c>
      <c r="D79" s="31">
        <v>0</v>
      </c>
      <c r="E79" s="31">
        <v>-431</v>
      </c>
      <c r="F79" s="31">
        <v>0</v>
      </c>
      <c r="G79" s="31">
        <v>91.999999999999957</v>
      </c>
      <c r="H79" s="31">
        <v>668.00000000000011</v>
      </c>
    </row>
    <row r="80" spans="2:8" x14ac:dyDescent="0.3">
      <c r="B80" s="31" t="s">
        <v>147</v>
      </c>
      <c r="C80" s="31" t="s">
        <v>118</v>
      </c>
      <c r="D80" s="31">
        <v>0</v>
      </c>
      <c r="E80" s="31">
        <v>-403</v>
      </c>
      <c r="F80" s="31">
        <v>0</v>
      </c>
      <c r="G80" s="31">
        <v>720</v>
      </c>
      <c r="H80" s="31">
        <v>33</v>
      </c>
    </row>
    <row r="81" spans="2:8" x14ac:dyDescent="0.3">
      <c r="B81" s="31" t="s">
        <v>148</v>
      </c>
      <c r="C81" s="31" t="s">
        <v>132</v>
      </c>
      <c r="D81" s="31">
        <v>0</v>
      </c>
      <c r="E81" s="31">
        <v>-377.75</v>
      </c>
      <c r="F81" s="31">
        <v>0</v>
      </c>
      <c r="G81" s="31">
        <v>33</v>
      </c>
      <c r="H81" s="31">
        <v>46.999999999999886</v>
      </c>
    </row>
    <row r="82" spans="2:8" x14ac:dyDescent="0.3">
      <c r="B82" s="31" t="s">
        <v>149</v>
      </c>
      <c r="C82" s="31" t="s">
        <v>60</v>
      </c>
      <c r="D82" s="31">
        <v>1458</v>
      </c>
      <c r="E82" s="31">
        <v>0</v>
      </c>
      <c r="F82" s="31">
        <v>0</v>
      </c>
      <c r="G82" s="31">
        <v>1457.9999999999995</v>
      </c>
      <c r="H82" s="31">
        <v>1E+30</v>
      </c>
    </row>
    <row r="83" spans="2:8" x14ac:dyDescent="0.3">
      <c r="B83" s="31" t="s">
        <v>150</v>
      </c>
      <c r="C83" s="31" t="s">
        <v>74</v>
      </c>
      <c r="D83" s="31">
        <v>1908.9</v>
      </c>
      <c r="E83" s="31">
        <v>0</v>
      </c>
      <c r="F83" s="31">
        <v>0</v>
      </c>
      <c r="G83" s="31">
        <v>1908.8999999999996</v>
      </c>
      <c r="H83" s="31">
        <v>1E+30</v>
      </c>
    </row>
    <row r="84" spans="2:8" x14ac:dyDescent="0.3">
      <c r="B84" s="31" t="s">
        <v>151</v>
      </c>
      <c r="C84" s="31" t="s">
        <v>88</v>
      </c>
      <c r="D84" s="31">
        <v>1971</v>
      </c>
      <c r="E84" s="31">
        <v>0</v>
      </c>
      <c r="F84" s="31">
        <v>0</v>
      </c>
      <c r="G84" s="31">
        <v>1970.9999999999998</v>
      </c>
      <c r="H84" s="31">
        <v>1E+30</v>
      </c>
    </row>
    <row r="85" spans="2:8" x14ac:dyDescent="0.3">
      <c r="B85" s="31" t="s">
        <v>152</v>
      </c>
      <c r="C85" s="31" t="s">
        <v>102</v>
      </c>
      <c r="D85" s="31">
        <v>1971</v>
      </c>
      <c r="E85" s="31">
        <v>0</v>
      </c>
      <c r="F85" s="31">
        <v>0</v>
      </c>
      <c r="G85" s="31">
        <v>1970.9999999999998</v>
      </c>
      <c r="H85" s="31">
        <v>1E+30</v>
      </c>
    </row>
    <row r="86" spans="2:8" x14ac:dyDescent="0.3">
      <c r="B86" s="31" t="s">
        <v>153</v>
      </c>
      <c r="C86" s="31" t="s">
        <v>116</v>
      </c>
      <c r="D86" s="31">
        <v>1485</v>
      </c>
      <c r="E86" s="31">
        <v>0</v>
      </c>
      <c r="F86" s="31">
        <v>0</v>
      </c>
      <c r="G86" s="31">
        <v>1484.9999999999995</v>
      </c>
      <c r="H86" s="31">
        <v>1E+30</v>
      </c>
    </row>
    <row r="87" spans="2:8" x14ac:dyDescent="0.3">
      <c r="B87" s="31" t="s">
        <v>154</v>
      </c>
      <c r="C87" s="31" t="s">
        <v>130</v>
      </c>
      <c r="D87" s="31">
        <v>1462.7249999999999</v>
      </c>
      <c r="E87" s="31">
        <v>0</v>
      </c>
      <c r="F87" s="31">
        <v>0</v>
      </c>
      <c r="G87" s="31">
        <v>1462.7249999999995</v>
      </c>
      <c r="H87" s="31">
        <v>1E+30</v>
      </c>
    </row>
    <row r="88" spans="2:8" x14ac:dyDescent="0.3">
      <c r="B88" s="31" t="s">
        <v>155</v>
      </c>
      <c r="C88" s="31" t="s">
        <v>66</v>
      </c>
      <c r="D88" s="31">
        <v>0</v>
      </c>
      <c r="E88" s="31">
        <v>-54.000000000000014</v>
      </c>
      <c r="F88" s="31">
        <v>0</v>
      </c>
      <c r="G88" s="31">
        <v>91.999999999999957</v>
      </c>
      <c r="H88" s="31">
        <v>668.00000000000011</v>
      </c>
    </row>
    <row r="89" spans="2:8" x14ac:dyDescent="0.3">
      <c r="B89" s="31" t="s">
        <v>156</v>
      </c>
      <c r="C89" s="31" t="s">
        <v>80</v>
      </c>
      <c r="D89" s="31">
        <v>0</v>
      </c>
      <c r="E89" s="31">
        <v>-68.000000000000014</v>
      </c>
      <c r="F89" s="31">
        <v>0</v>
      </c>
      <c r="G89" s="31">
        <v>91.999999999999957</v>
      </c>
      <c r="H89" s="31">
        <v>668.00000000000011</v>
      </c>
    </row>
    <row r="90" spans="2:8" x14ac:dyDescent="0.3">
      <c r="B90" s="31" t="s">
        <v>157</v>
      </c>
      <c r="C90" s="31" t="s">
        <v>94</v>
      </c>
      <c r="D90" s="31">
        <v>0</v>
      </c>
      <c r="E90" s="31">
        <v>-82.000000000000014</v>
      </c>
      <c r="F90" s="31">
        <v>0</v>
      </c>
      <c r="G90" s="31">
        <v>91.999999999999957</v>
      </c>
      <c r="H90" s="31">
        <v>668.00000000000011</v>
      </c>
    </row>
    <row r="91" spans="2:8" x14ac:dyDescent="0.3">
      <c r="B91" s="31" t="s">
        <v>158</v>
      </c>
      <c r="C91" s="31" t="s">
        <v>108</v>
      </c>
      <c r="D91" s="31">
        <v>0</v>
      </c>
      <c r="E91" s="31">
        <v>-96.000000000000014</v>
      </c>
      <c r="F91" s="31">
        <v>0</v>
      </c>
      <c r="G91" s="31">
        <v>91.999999999999957</v>
      </c>
      <c r="H91" s="31">
        <v>668.00000000000011</v>
      </c>
    </row>
    <row r="92" spans="2:8" x14ac:dyDescent="0.3">
      <c r="B92" s="31" t="s">
        <v>159</v>
      </c>
      <c r="C92" s="31" t="s">
        <v>122</v>
      </c>
      <c r="D92" s="31">
        <v>0</v>
      </c>
      <c r="E92" s="31">
        <v>-68</v>
      </c>
      <c r="F92" s="31">
        <v>0</v>
      </c>
      <c r="G92" s="31">
        <v>720</v>
      </c>
      <c r="H92" s="31">
        <v>33</v>
      </c>
    </row>
    <row r="93" spans="2:8" x14ac:dyDescent="0.3">
      <c r="B93" s="31" t="s">
        <v>160</v>
      </c>
      <c r="C93" s="31" t="s">
        <v>136</v>
      </c>
      <c r="D93" s="31">
        <v>0</v>
      </c>
      <c r="E93" s="31">
        <v>-42.75</v>
      </c>
      <c r="F93" s="31">
        <v>0</v>
      </c>
      <c r="G93" s="31">
        <v>33</v>
      </c>
      <c r="H93" s="31">
        <v>46.999999999999886</v>
      </c>
    </row>
    <row r="94" spans="2:8" x14ac:dyDescent="0.3">
      <c r="B94" s="31" t="s">
        <v>161</v>
      </c>
      <c r="C94" s="31" t="s">
        <v>58</v>
      </c>
      <c r="D94" s="31">
        <v>0</v>
      </c>
      <c r="E94" s="31">
        <v>16.999999999999893</v>
      </c>
      <c r="F94" s="31">
        <v>0</v>
      </c>
      <c r="G94" s="31">
        <v>1</v>
      </c>
      <c r="H94" s="31">
        <v>8.3500000000000032</v>
      </c>
    </row>
    <row r="95" spans="2:8" x14ac:dyDescent="0.3">
      <c r="B95" s="31" t="s">
        <v>162</v>
      </c>
      <c r="C95" s="31" t="s">
        <v>72</v>
      </c>
      <c r="D95" s="31">
        <v>0</v>
      </c>
      <c r="E95" s="31">
        <v>-543</v>
      </c>
      <c r="F95" s="31">
        <v>0</v>
      </c>
      <c r="G95" s="31">
        <v>2.2999999999999985</v>
      </c>
      <c r="H95" s="31">
        <v>16.700000000000003</v>
      </c>
    </row>
    <row r="96" spans="2:8" x14ac:dyDescent="0.3">
      <c r="B96" s="31" t="s">
        <v>163</v>
      </c>
      <c r="C96" s="31" t="s">
        <v>86</v>
      </c>
      <c r="D96" s="31">
        <v>0</v>
      </c>
      <c r="E96" s="31">
        <v>-543</v>
      </c>
      <c r="F96" s="31">
        <v>0</v>
      </c>
      <c r="G96" s="31">
        <v>16.7</v>
      </c>
      <c r="H96" s="31">
        <v>2.2999999999999994</v>
      </c>
    </row>
    <row r="97" spans="2:8" x14ac:dyDescent="0.3">
      <c r="B97" s="31" t="s">
        <v>164</v>
      </c>
      <c r="C97" s="31" t="s">
        <v>100</v>
      </c>
      <c r="D97" s="31">
        <v>0</v>
      </c>
      <c r="E97" s="31">
        <v>-110.00000000000006</v>
      </c>
      <c r="F97" s="31">
        <v>0</v>
      </c>
      <c r="G97" s="31">
        <v>2.2999999999999989</v>
      </c>
      <c r="H97" s="31">
        <v>1.1102230246251565E-16</v>
      </c>
    </row>
    <row r="98" spans="2:8" x14ac:dyDescent="0.3">
      <c r="B98" s="31" t="s">
        <v>165</v>
      </c>
      <c r="C98" s="31" t="s">
        <v>114</v>
      </c>
      <c r="D98" s="31">
        <v>0</v>
      </c>
      <c r="E98" s="31">
        <v>1010</v>
      </c>
      <c r="F98" s="31">
        <v>0</v>
      </c>
      <c r="G98" s="31">
        <v>18</v>
      </c>
      <c r="H98" s="31">
        <v>0.99999999999999922</v>
      </c>
    </row>
    <row r="99" spans="2:8" ht="15" thickBot="1" x14ac:dyDescent="0.35">
      <c r="B99" s="32" t="s">
        <v>166</v>
      </c>
      <c r="C99" s="32" t="s">
        <v>128</v>
      </c>
      <c r="D99" s="32">
        <v>0</v>
      </c>
      <c r="E99" s="32">
        <v>1010</v>
      </c>
      <c r="F99" s="32">
        <v>0</v>
      </c>
      <c r="G99" s="32">
        <v>0.82500000000000007</v>
      </c>
      <c r="H99" s="32">
        <v>18.175000000000001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A15F-B9D2-41F9-8CC5-E0FAF1FE12D2}">
  <dimension ref="A1:R21"/>
  <sheetViews>
    <sheetView workbookViewId="0">
      <selection activeCell="Q6" sqref="Q6"/>
    </sheetView>
  </sheetViews>
  <sheetFormatPr defaultRowHeight="14.4" x14ac:dyDescent="0.3"/>
  <cols>
    <col min="1" max="1" width="4.5546875" bestFit="1" customWidth="1"/>
    <col min="2" max="2" width="8.44140625" bestFit="1" customWidth="1"/>
    <col min="4" max="4" width="7" bestFit="1" customWidth="1"/>
    <col min="5" max="5" width="10.5546875" bestFit="1" customWidth="1"/>
    <col min="6" max="6" width="11.5546875" bestFit="1" customWidth="1"/>
    <col min="7" max="7" width="15.5546875" bestFit="1" customWidth="1"/>
    <col min="8" max="8" width="9.5546875" bestFit="1" customWidth="1"/>
    <col min="9" max="9" width="11.5546875" bestFit="1" customWidth="1"/>
    <col min="10" max="10" width="9.44140625" bestFit="1" customWidth="1"/>
    <col min="11" max="11" width="12.5546875" bestFit="1" customWidth="1"/>
    <col min="12" max="12" width="15.44140625" bestFit="1" customWidth="1"/>
    <col min="14" max="14" width="11" bestFit="1" customWidth="1"/>
    <col min="15" max="15" width="9.5546875" bestFit="1" customWidth="1"/>
    <col min="16" max="16" width="9.44140625" bestFit="1" customWidth="1"/>
    <col min="17" max="17" width="10.6640625" bestFit="1" customWidth="1"/>
    <col min="18" max="18" width="10.44140625" bestFit="1" customWidth="1"/>
  </cols>
  <sheetData>
    <row r="1" spans="1:18" x14ac:dyDescent="0.3">
      <c r="D1" s="4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N1" s="4" t="s">
        <v>33</v>
      </c>
      <c r="O1" s="9" t="s">
        <v>24</v>
      </c>
      <c r="P1" s="9" t="s">
        <v>23</v>
      </c>
      <c r="Q1" s="9" t="s">
        <v>26</v>
      </c>
      <c r="R1" s="9" t="s">
        <v>22</v>
      </c>
    </row>
    <row r="2" spans="1:18" x14ac:dyDescent="0.3">
      <c r="B2" s="1" t="s">
        <v>0</v>
      </c>
      <c r="D2" s="10" t="s">
        <v>27</v>
      </c>
      <c r="E2" s="8">
        <v>0</v>
      </c>
      <c r="F2" s="8">
        <v>0</v>
      </c>
      <c r="G2" s="8">
        <f>B13</f>
        <v>54</v>
      </c>
      <c r="H2" s="8">
        <v>0</v>
      </c>
      <c r="I2" s="8">
        <f>B19</f>
        <v>1094</v>
      </c>
      <c r="J2" s="8">
        <v>0</v>
      </c>
      <c r="K2" s="8">
        <v>0</v>
      </c>
      <c r="N2" s="9" t="s">
        <v>27</v>
      </c>
    </row>
    <row r="3" spans="1:18" x14ac:dyDescent="0.3">
      <c r="A3" s="1" t="s">
        <v>1</v>
      </c>
      <c r="B3" s="2">
        <v>1434</v>
      </c>
      <c r="D3" s="10" t="s">
        <v>1</v>
      </c>
      <c r="E3" s="8">
        <v>0</v>
      </c>
      <c r="F3" s="8">
        <v>0</v>
      </c>
      <c r="G3" s="8">
        <v>54</v>
      </c>
      <c r="H3" s="8">
        <v>0</v>
      </c>
      <c r="I3" s="8">
        <v>1820</v>
      </c>
      <c r="J3" s="8">
        <v>0</v>
      </c>
      <c r="K3" s="8">
        <v>2160</v>
      </c>
      <c r="N3" s="9" t="s">
        <v>1</v>
      </c>
      <c r="O3">
        <f t="shared" ref="O3:O8" si="0">I2+K3-B3-I3</f>
        <v>0</v>
      </c>
      <c r="P3">
        <f t="shared" ref="P3:P8" si="1">G3*$B$12-H3</f>
        <v>1458</v>
      </c>
      <c r="Q3">
        <f>G3*160/4 + H3/4 - K3</f>
        <v>0</v>
      </c>
      <c r="R3">
        <f>G2+E3-F3-G3</f>
        <v>0</v>
      </c>
    </row>
    <row r="4" spans="1:18" x14ac:dyDescent="0.3">
      <c r="A4" s="1" t="s">
        <v>2</v>
      </c>
      <c r="B4" s="2">
        <v>2539</v>
      </c>
      <c r="D4" s="10" t="s">
        <v>2</v>
      </c>
      <c r="E4" s="8">
        <v>16.700000000000003</v>
      </c>
      <c r="F4" s="8">
        <v>0</v>
      </c>
      <c r="G4" s="8">
        <v>70.7</v>
      </c>
      <c r="H4" s="8">
        <v>0</v>
      </c>
      <c r="I4" s="8">
        <v>2109</v>
      </c>
      <c r="J4" s="8">
        <v>0</v>
      </c>
      <c r="K4" s="8">
        <v>2828</v>
      </c>
      <c r="N4" s="9" t="s">
        <v>2</v>
      </c>
      <c r="O4">
        <f t="shared" si="0"/>
        <v>0</v>
      </c>
      <c r="P4">
        <f t="shared" si="1"/>
        <v>1908.9</v>
      </c>
      <c r="Q4">
        <f t="shared" ref="Q4:Q8" si="2">G4*160/4 + H4/4 - K4</f>
        <v>0</v>
      </c>
      <c r="R4">
        <f t="shared" ref="R4:R8" si="3">G3+E4-F4-G4</f>
        <v>0</v>
      </c>
    </row>
    <row r="5" spans="1:18" x14ac:dyDescent="0.3">
      <c r="A5" s="1" t="s">
        <v>3</v>
      </c>
      <c r="B5" s="2">
        <v>4187</v>
      </c>
      <c r="D5" s="10" t="s">
        <v>3</v>
      </c>
      <c r="E5" s="8">
        <v>2.2999999999999994</v>
      </c>
      <c r="F5" s="8">
        <v>0</v>
      </c>
      <c r="G5" s="8">
        <v>73</v>
      </c>
      <c r="H5" s="8">
        <v>0</v>
      </c>
      <c r="I5" s="8">
        <v>842</v>
      </c>
      <c r="J5" s="8">
        <v>0</v>
      </c>
      <c r="K5" s="8">
        <v>2920</v>
      </c>
      <c r="N5" s="9" t="s">
        <v>3</v>
      </c>
      <c r="O5">
        <f t="shared" si="0"/>
        <v>0</v>
      </c>
      <c r="P5">
        <f t="shared" si="1"/>
        <v>1971</v>
      </c>
      <c r="Q5">
        <f t="shared" si="2"/>
        <v>0</v>
      </c>
      <c r="R5">
        <f t="shared" si="3"/>
        <v>0</v>
      </c>
    </row>
    <row r="6" spans="1:18" x14ac:dyDescent="0.3">
      <c r="A6" s="1" t="s">
        <v>4</v>
      </c>
      <c r="B6" s="2">
        <v>3762</v>
      </c>
      <c r="D6" s="10" t="s">
        <v>4</v>
      </c>
      <c r="E6" s="8">
        <v>0</v>
      </c>
      <c r="F6" s="8">
        <v>0</v>
      </c>
      <c r="G6" s="8">
        <v>73</v>
      </c>
      <c r="H6" s="8">
        <v>0</v>
      </c>
      <c r="I6" s="8">
        <v>0</v>
      </c>
      <c r="J6" s="8">
        <v>0</v>
      </c>
      <c r="K6" s="8">
        <v>2920</v>
      </c>
      <c r="N6" s="9" t="s">
        <v>4</v>
      </c>
      <c r="O6">
        <f t="shared" si="0"/>
        <v>0</v>
      </c>
      <c r="P6">
        <f t="shared" si="1"/>
        <v>1971</v>
      </c>
      <c r="Q6">
        <f t="shared" si="2"/>
        <v>0</v>
      </c>
      <c r="R6">
        <f t="shared" si="3"/>
        <v>0</v>
      </c>
    </row>
    <row r="7" spans="1:18" x14ac:dyDescent="0.3">
      <c r="A7" s="1" t="s">
        <v>5</v>
      </c>
      <c r="B7" s="2">
        <v>2200</v>
      </c>
      <c r="D7" s="10" t="s">
        <v>5</v>
      </c>
      <c r="E7" s="8">
        <v>0</v>
      </c>
      <c r="F7" s="8">
        <v>18</v>
      </c>
      <c r="G7" s="8">
        <v>55</v>
      </c>
      <c r="H7" s="8">
        <v>0</v>
      </c>
      <c r="I7" s="8">
        <v>0</v>
      </c>
      <c r="J7" s="8">
        <v>0</v>
      </c>
      <c r="K7" s="8">
        <v>2200</v>
      </c>
      <c r="N7" s="9" t="s">
        <v>5</v>
      </c>
      <c r="O7">
        <f t="shared" si="0"/>
        <v>0</v>
      </c>
      <c r="P7">
        <f t="shared" si="1"/>
        <v>1485</v>
      </c>
      <c r="Q7">
        <f t="shared" si="2"/>
        <v>0</v>
      </c>
      <c r="R7">
        <f t="shared" si="3"/>
        <v>0</v>
      </c>
    </row>
    <row r="8" spans="1:18" x14ac:dyDescent="0.3">
      <c r="A8" s="1" t="s">
        <v>6</v>
      </c>
      <c r="B8" s="2">
        <v>2167</v>
      </c>
      <c r="D8" s="10" t="s">
        <v>6</v>
      </c>
      <c r="E8" s="8">
        <v>0</v>
      </c>
      <c r="F8" s="8">
        <v>0.82500000000000007</v>
      </c>
      <c r="G8" s="8">
        <v>54.174999999999997</v>
      </c>
      <c r="H8" s="8">
        <v>0</v>
      </c>
      <c r="I8" s="8">
        <v>0</v>
      </c>
      <c r="J8" s="8">
        <v>0</v>
      </c>
      <c r="K8" s="8">
        <v>2167</v>
      </c>
      <c r="N8" s="9" t="s">
        <v>6</v>
      </c>
      <c r="O8">
        <f t="shared" si="0"/>
        <v>0</v>
      </c>
      <c r="P8">
        <f t="shared" si="1"/>
        <v>1462.7249999999999</v>
      </c>
      <c r="Q8">
        <f t="shared" si="2"/>
        <v>0</v>
      </c>
      <c r="R8">
        <f t="shared" si="3"/>
        <v>0</v>
      </c>
    </row>
    <row r="10" spans="1:18" x14ac:dyDescent="0.3">
      <c r="A10" s="3" t="s">
        <v>7</v>
      </c>
      <c r="B10" s="2">
        <v>17</v>
      </c>
      <c r="D10" s="4" t="s">
        <v>28</v>
      </c>
      <c r="E10" s="9" t="s">
        <v>29</v>
      </c>
      <c r="F10" s="9" t="s">
        <v>30</v>
      </c>
      <c r="G10" s="9" t="s">
        <v>34</v>
      </c>
      <c r="H10" s="9" t="s">
        <v>23</v>
      </c>
      <c r="I10" s="9" t="s">
        <v>24</v>
      </c>
      <c r="J10" s="9" t="s">
        <v>31</v>
      </c>
      <c r="K10" s="9" t="s">
        <v>26</v>
      </c>
      <c r="L10" s="6" t="s">
        <v>32</v>
      </c>
    </row>
    <row r="11" spans="1:18" x14ac:dyDescent="0.3">
      <c r="A11" s="3" t="s">
        <v>8</v>
      </c>
      <c r="B11" s="2">
        <v>27</v>
      </c>
      <c r="D11" s="10" t="s">
        <v>27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f>SUM(E11:K11)</f>
        <v>0</v>
      </c>
    </row>
    <row r="12" spans="1:18" x14ac:dyDescent="0.3">
      <c r="A12" s="3" t="s">
        <v>9</v>
      </c>
      <c r="B12" s="2">
        <v>27</v>
      </c>
      <c r="D12" s="10" t="s">
        <v>1</v>
      </c>
      <c r="E12" s="25">
        <f t="shared" ref="E12:E17" si="4">E3*$B$15</f>
        <v>0</v>
      </c>
      <c r="F12" s="25">
        <f t="shared" ref="F12:F17" si="5">F3*$B$16</f>
        <v>0</v>
      </c>
      <c r="G12" s="25">
        <f t="shared" ref="G12:G17" si="6">G3*$B$10*160</f>
        <v>146880</v>
      </c>
      <c r="H12" s="25">
        <f t="shared" ref="H12:H17" si="7">H3*$B$11</f>
        <v>0</v>
      </c>
      <c r="I12" s="25">
        <f t="shared" ref="I12:I17" si="8">I3*$B$18</f>
        <v>25480</v>
      </c>
      <c r="J12" s="25">
        <f t="shared" ref="J12:J17" si="9">J3*$B$21</f>
        <v>0</v>
      </c>
      <c r="K12" s="25">
        <f t="shared" ref="K12:K17" si="10">K3*$B$17</f>
        <v>723600</v>
      </c>
      <c r="L12" s="25">
        <f t="shared" ref="L12:L17" si="11">SUM(E12:K12)</f>
        <v>895960</v>
      </c>
    </row>
    <row r="13" spans="1:18" x14ac:dyDescent="0.3">
      <c r="A13" s="3" t="s">
        <v>10</v>
      </c>
      <c r="B13" s="2">
        <v>54</v>
      </c>
      <c r="D13" s="10" t="s">
        <v>2</v>
      </c>
      <c r="E13" s="25">
        <f t="shared" si="4"/>
        <v>9068.1000000000022</v>
      </c>
      <c r="F13" s="25">
        <f t="shared" si="5"/>
        <v>0</v>
      </c>
      <c r="G13" s="25">
        <f t="shared" si="6"/>
        <v>192304</v>
      </c>
      <c r="H13" s="25">
        <f t="shared" si="7"/>
        <v>0</v>
      </c>
      <c r="I13" s="25">
        <f t="shared" si="8"/>
        <v>29526</v>
      </c>
      <c r="J13" s="25">
        <f t="shared" si="9"/>
        <v>0</v>
      </c>
      <c r="K13" s="25">
        <f t="shared" si="10"/>
        <v>947380</v>
      </c>
      <c r="L13" s="25">
        <f t="shared" si="11"/>
        <v>1178278.1000000001</v>
      </c>
    </row>
    <row r="14" spans="1:18" x14ac:dyDescent="0.3">
      <c r="A14" s="3" t="s">
        <v>11</v>
      </c>
      <c r="B14" s="2">
        <v>19</v>
      </c>
      <c r="D14" s="10" t="s">
        <v>3</v>
      </c>
      <c r="E14" s="25">
        <f t="shared" si="4"/>
        <v>1248.8999999999996</v>
      </c>
      <c r="F14" s="25">
        <f t="shared" si="5"/>
        <v>0</v>
      </c>
      <c r="G14" s="25">
        <f t="shared" si="6"/>
        <v>198560</v>
      </c>
      <c r="H14" s="25">
        <f t="shared" si="7"/>
        <v>0</v>
      </c>
      <c r="I14" s="25">
        <f t="shared" si="8"/>
        <v>11788</v>
      </c>
      <c r="J14" s="25">
        <f t="shared" si="9"/>
        <v>0</v>
      </c>
      <c r="K14" s="25">
        <f t="shared" si="10"/>
        <v>978200</v>
      </c>
      <c r="L14" s="25">
        <f t="shared" si="11"/>
        <v>1189796.8999999999</v>
      </c>
    </row>
    <row r="15" spans="1:18" x14ac:dyDescent="0.3">
      <c r="A15" s="3" t="s">
        <v>12</v>
      </c>
      <c r="B15" s="2">
        <v>543</v>
      </c>
      <c r="D15" s="10" t="s">
        <v>4</v>
      </c>
      <c r="E15" s="25">
        <f t="shared" si="4"/>
        <v>0</v>
      </c>
      <c r="F15" s="25">
        <f t="shared" si="5"/>
        <v>0</v>
      </c>
      <c r="G15" s="25">
        <f t="shared" si="6"/>
        <v>198560</v>
      </c>
      <c r="H15" s="25">
        <f t="shared" si="7"/>
        <v>0</v>
      </c>
      <c r="I15" s="25">
        <f t="shared" si="8"/>
        <v>0</v>
      </c>
      <c r="J15" s="25">
        <f t="shared" si="9"/>
        <v>0</v>
      </c>
      <c r="K15" s="25">
        <f t="shared" si="10"/>
        <v>978200</v>
      </c>
      <c r="L15" s="25">
        <f t="shared" si="11"/>
        <v>1176760</v>
      </c>
    </row>
    <row r="16" spans="1:18" x14ac:dyDescent="0.3">
      <c r="A16" s="3" t="s">
        <v>13</v>
      </c>
      <c r="B16" s="2">
        <v>1010</v>
      </c>
      <c r="D16" s="10" t="s">
        <v>5</v>
      </c>
      <c r="E16" s="25">
        <f t="shared" si="4"/>
        <v>0</v>
      </c>
      <c r="F16" s="25">
        <f t="shared" si="5"/>
        <v>18180</v>
      </c>
      <c r="G16" s="25">
        <f t="shared" si="6"/>
        <v>149600</v>
      </c>
      <c r="H16" s="25">
        <f t="shared" si="7"/>
        <v>0</v>
      </c>
      <c r="I16" s="25">
        <f t="shared" si="8"/>
        <v>0</v>
      </c>
      <c r="J16" s="25">
        <f t="shared" si="9"/>
        <v>0</v>
      </c>
      <c r="K16" s="25">
        <f t="shared" si="10"/>
        <v>737000</v>
      </c>
      <c r="L16" s="25">
        <f t="shared" si="11"/>
        <v>904780</v>
      </c>
    </row>
    <row r="17" spans="1:12" x14ac:dyDescent="0.3">
      <c r="A17" s="3" t="s">
        <v>14</v>
      </c>
      <c r="B17" s="2">
        <v>335</v>
      </c>
      <c r="D17" s="10" t="s">
        <v>6</v>
      </c>
      <c r="E17" s="25">
        <f t="shared" si="4"/>
        <v>0</v>
      </c>
      <c r="F17" s="25">
        <f t="shared" si="5"/>
        <v>833.25000000000011</v>
      </c>
      <c r="G17" s="25">
        <f t="shared" si="6"/>
        <v>147356</v>
      </c>
      <c r="H17" s="25">
        <f t="shared" si="7"/>
        <v>0</v>
      </c>
      <c r="I17" s="25">
        <f t="shared" si="8"/>
        <v>0</v>
      </c>
      <c r="J17" s="25">
        <f t="shared" si="9"/>
        <v>0</v>
      </c>
      <c r="K17" s="25">
        <f t="shared" si="10"/>
        <v>725945</v>
      </c>
      <c r="L17" s="25">
        <f t="shared" si="11"/>
        <v>874134.25</v>
      </c>
    </row>
    <row r="18" spans="1:12" x14ac:dyDescent="0.3">
      <c r="A18" s="3" t="s">
        <v>15</v>
      </c>
      <c r="B18" s="2">
        <v>14</v>
      </c>
    </row>
    <row r="19" spans="1:12" x14ac:dyDescent="0.3">
      <c r="A19" s="3" t="s">
        <v>16</v>
      </c>
      <c r="B19" s="2">
        <v>1094</v>
      </c>
      <c r="K19" s="16" t="s">
        <v>170</v>
      </c>
      <c r="L19" s="7">
        <f>SUM(B3:B8)*B21</f>
        <v>13796783</v>
      </c>
    </row>
    <row r="20" spans="1:12" x14ac:dyDescent="0.3">
      <c r="A20" s="3" t="s">
        <v>17</v>
      </c>
      <c r="B20" s="2">
        <v>461</v>
      </c>
      <c r="K20" s="15" t="s">
        <v>43</v>
      </c>
      <c r="L20" s="14">
        <f>SUM(L11:L17)</f>
        <v>6219709.25</v>
      </c>
    </row>
    <row r="21" spans="1:12" x14ac:dyDescent="0.3">
      <c r="A21" s="3" t="s">
        <v>18</v>
      </c>
      <c r="B21" s="2">
        <v>847</v>
      </c>
      <c r="K21" s="18" t="s">
        <v>169</v>
      </c>
      <c r="L21" s="19">
        <f>L19-L20</f>
        <v>7577073.75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908A-98A3-49F0-99B0-742581FA5259}">
  <dimension ref="A1:D42"/>
  <sheetViews>
    <sheetView zoomScale="79" workbookViewId="0">
      <selection activeCell="M29" sqref="M29"/>
    </sheetView>
  </sheetViews>
  <sheetFormatPr defaultRowHeight="14.4" x14ac:dyDescent="0.3"/>
  <cols>
    <col min="1" max="1" width="60.6640625" bestFit="1" customWidth="1"/>
    <col min="2" max="2" width="12" bestFit="1" customWidth="1"/>
    <col min="3" max="3" width="13.109375" bestFit="1" customWidth="1"/>
  </cols>
  <sheetData>
    <row r="1" spans="1:4" x14ac:dyDescent="0.3">
      <c r="A1" t="s">
        <v>177</v>
      </c>
    </row>
    <row r="2" spans="1:4" x14ac:dyDescent="0.3">
      <c r="A2" t="s">
        <v>171</v>
      </c>
    </row>
    <row r="4" spans="1:4" x14ac:dyDescent="0.3">
      <c r="A4" t="s">
        <v>173</v>
      </c>
      <c r="B4" s="21" t="s">
        <v>167</v>
      </c>
      <c r="C4" s="21" t="s">
        <v>168</v>
      </c>
      <c r="D4" s="21" t="s">
        <v>50</v>
      </c>
    </row>
    <row r="5" spans="1:4" x14ac:dyDescent="0.3">
      <c r="A5" s="21" t="s">
        <v>1</v>
      </c>
      <c r="B5" s="22">
        <v>1434</v>
      </c>
      <c r="C5" s="24">
        <f>1.25*B5+0.1*SUM(B6:B8)</f>
        <v>2841.3</v>
      </c>
      <c r="D5" s="21">
        <v>797</v>
      </c>
    </row>
    <row r="6" spans="1:4" x14ac:dyDescent="0.3">
      <c r="A6" s="21" t="s">
        <v>2</v>
      </c>
      <c r="B6" s="22">
        <v>2539</v>
      </c>
      <c r="C6" s="24" cm="1">
        <f t="array" ref="C6:C10">B6:B10</f>
        <v>2539</v>
      </c>
      <c r="D6" s="23"/>
    </row>
    <row r="7" spans="1:4" x14ac:dyDescent="0.3">
      <c r="A7" s="21" t="s">
        <v>3</v>
      </c>
      <c r="B7" s="22">
        <v>4187</v>
      </c>
      <c r="C7" s="24">
        <v>4187</v>
      </c>
      <c r="D7" s="23"/>
    </row>
    <row r="8" spans="1:4" x14ac:dyDescent="0.3">
      <c r="A8" s="21" t="s">
        <v>4</v>
      </c>
      <c r="B8" s="22">
        <v>3762</v>
      </c>
      <c r="C8" s="24">
        <v>3762</v>
      </c>
      <c r="D8" s="23"/>
    </row>
    <row r="9" spans="1:4" x14ac:dyDescent="0.3">
      <c r="A9" s="21" t="s">
        <v>5</v>
      </c>
      <c r="B9" s="22">
        <v>2200</v>
      </c>
      <c r="C9" s="24">
        <v>2200</v>
      </c>
      <c r="D9" s="23"/>
    </row>
    <row r="10" spans="1:4" x14ac:dyDescent="0.3">
      <c r="A10" s="21" t="s">
        <v>6</v>
      </c>
      <c r="B10" s="22">
        <v>2167</v>
      </c>
      <c r="C10" s="24">
        <v>2167</v>
      </c>
      <c r="D10" s="23"/>
    </row>
    <row r="11" spans="1:4" x14ac:dyDescent="0.3">
      <c r="B11" s="23"/>
      <c r="C11" s="23"/>
      <c r="D11" s="23"/>
    </row>
    <row r="12" spans="1:4" x14ac:dyDescent="0.3">
      <c r="A12" s="20" t="s">
        <v>172</v>
      </c>
      <c r="B12" s="21" t="s">
        <v>167</v>
      </c>
      <c r="C12" s="21" t="s">
        <v>168</v>
      </c>
      <c r="D12" s="21" t="s">
        <v>50</v>
      </c>
    </row>
    <row r="13" spans="1:4" x14ac:dyDescent="0.3">
      <c r="A13" s="21" t="s">
        <v>1</v>
      </c>
      <c r="B13" s="22">
        <v>1434</v>
      </c>
      <c r="C13" s="24">
        <f>1.5*B13+0.1*SUM((B14:B16))</f>
        <v>3199.8</v>
      </c>
      <c r="D13" s="21">
        <v>797</v>
      </c>
    </row>
    <row r="14" spans="1:4" x14ac:dyDescent="0.3">
      <c r="A14" s="21" t="s">
        <v>2</v>
      </c>
      <c r="B14" s="22">
        <v>2539</v>
      </c>
      <c r="C14" s="24" cm="1">
        <f t="array" ref="C14:C16">0.9*B14:B16</f>
        <v>2285.1</v>
      </c>
      <c r="D14" s="21"/>
    </row>
    <row r="15" spans="1:4" x14ac:dyDescent="0.3">
      <c r="A15" s="21" t="s">
        <v>3</v>
      </c>
      <c r="B15" s="22">
        <v>4187</v>
      </c>
      <c r="C15" s="24">
        <v>3768.3</v>
      </c>
      <c r="D15" s="23"/>
    </row>
    <row r="16" spans="1:4" x14ac:dyDescent="0.3">
      <c r="A16" s="21" t="s">
        <v>4</v>
      </c>
      <c r="B16" s="22">
        <v>3762</v>
      </c>
      <c r="C16" s="24">
        <v>3385.8</v>
      </c>
      <c r="D16" s="23"/>
    </row>
    <row r="17" spans="1:4" x14ac:dyDescent="0.3">
      <c r="A17" s="21" t="s">
        <v>5</v>
      </c>
      <c r="B17" s="22">
        <v>2200</v>
      </c>
      <c r="C17" s="24" cm="1">
        <f t="array" ref="C17:C18">B17:B18</f>
        <v>2200</v>
      </c>
      <c r="D17" s="23"/>
    </row>
    <row r="18" spans="1:4" x14ac:dyDescent="0.3">
      <c r="A18" s="21" t="s">
        <v>6</v>
      </c>
      <c r="B18" s="22">
        <v>2167</v>
      </c>
      <c r="C18" s="24">
        <v>2167</v>
      </c>
      <c r="D18" s="23"/>
    </row>
    <row r="19" spans="1:4" x14ac:dyDescent="0.3">
      <c r="B19" s="23"/>
      <c r="C19" s="23"/>
      <c r="D19" s="23"/>
    </row>
    <row r="20" spans="1:4" x14ac:dyDescent="0.3">
      <c r="A20" s="20" t="s">
        <v>174</v>
      </c>
      <c r="B20" s="21" t="s">
        <v>167</v>
      </c>
      <c r="C20" s="21" t="s">
        <v>168</v>
      </c>
      <c r="D20" s="21" t="s">
        <v>50</v>
      </c>
    </row>
    <row r="21" spans="1:4" x14ac:dyDescent="0.3">
      <c r="A21" s="21" t="s">
        <v>1</v>
      </c>
      <c r="B21" s="22">
        <v>1434</v>
      </c>
      <c r="C21" s="24">
        <f>0.7*B21</f>
        <v>1003.8</v>
      </c>
      <c r="D21" s="21">
        <v>847</v>
      </c>
    </row>
    <row r="22" spans="1:4" x14ac:dyDescent="0.3">
      <c r="A22" s="21" t="s">
        <v>2</v>
      </c>
      <c r="B22" s="22">
        <v>2539</v>
      </c>
      <c r="C22" s="24" cm="1">
        <f t="array" ref="C22:C24">0.9*B22:B24</f>
        <v>2285.1</v>
      </c>
      <c r="D22" s="21"/>
    </row>
    <row r="23" spans="1:4" x14ac:dyDescent="0.3">
      <c r="A23" s="21" t="s">
        <v>3</v>
      </c>
      <c r="B23" s="22">
        <v>4187</v>
      </c>
      <c r="C23" s="24">
        <v>3768.3</v>
      </c>
      <c r="D23" s="23"/>
    </row>
    <row r="24" spans="1:4" x14ac:dyDescent="0.3">
      <c r="A24" s="21" t="s">
        <v>4</v>
      </c>
      <c r="B24" s="22">
        <v>3762</v>
      </c>
      <c r="C24" s="24">
        <v>3385.8</v>
      </c>
      <c r="D24" s="23"/>
    </row>
    <row r="25" spans="1:4" x14ac:dyDescent="0.3">
      <c r="A25" s="21" t="s">
        <v>5</v>
      </c>
      <c r="B25" s="22">
        <v>2200</v>
      </c>
      <c r="C25" s="24" cm="1">
        <f t="array" ref="C25:C26">B25:B26</f>
        <v>2200</v>
      </c>
      <c r="D25" s="23"/>
    </row>
    <row r="26" spans="1:4" x14ac:dyDescent="0.3">
      <c r="A26" s="21" t="s">
        <v>6</v>
      </c>
      <c r="B26" s="22">
        <v>2167</v>
      </c>
      <c r="C26" s="24">
        <v>2167</v>
      </c>
      <c r="D26" s="23"/>
    </row>
    <row r="28" spans="1:4" x14ac:dyDescent="0.3">
      <c r="A28" s="20" t="s">
        <v>175</v>
      </c>
      <c r="B28" s="21" t="s">
        <v>167</v>
      </c>
      <c r="C28" s="21" t="s">
        <v>168</v>
      </c>
      <c r="D28" s="21" t="s">
        <v>50</v>
      </c>
    </row>
    <row r="29" spans="1:4" x14ac:dyDescent="0.3">
      <c r="A29" s="21" t="s">
        <v>1</v>
      </c>
      <c r="B29" s="22">
        <v>1434</v>
      </c>
      <c r="C29" s="24">
        <f>0.7*B29</f>
        <v>1003.8</v>
      </c>
      <c r="D29" s="21">
        <v>797</v>
      </c>
    </row>
    <row r="30" spans="1:4" x14ac:dyDescent="0.3">
      <c r="A30" s="21" t="s">
        <v>2</v>
      </c>
      <c r="B30" s="22">
        <v>2539</v>
      </c>
      <c r="C30" s="24">
        <v>2285.1</v>
      </c>
      <c r="D30" s="21"/>
    </row>
    <row r="31" spans="1:4" x14ac:dyDescent="0.3">
      <c r="A31" s="21" t="s">
        <v>3</v>
      </c>
      <c r="B31" s="22">
        <v>4187</v>
      </c>
      <c r="C31" s="24">
        <f>C23*1.5+0.1*SUM(C24:C26)</f>
        <v>6427.7300000000005</v>
      </c>
      <c r="D31" s="23"/>
    </row>
    <row r="32" spans="1:4" x14ac:dyDescent="0.3">
      <c r="A32" s="21" t="s">
        <v>4</v>
      </c>
      <c r="B32" s="22">
        <v>3762</v>
      </c>
      <c r="C32" s="24" cm="1">
        <f t="array" ref="C32:C34">0.9*C24:C26</f>
        <v>3047.2200000000003</v>
      </c>
      <c r="D32" s="23"/>
    </row>
    <row r="33" spans="1:4" x14ac:dyDescent="0.3">
      <c r="A33" s="21" t="s">
        <v>5</v>
      </c>
      <c r="B33" s="22">
        <v>2200</v>
      </c>
      <c r="C33" s="24">
        <v>1980</v>
      </c>
      <c r="D33" s="23"/>
    </row>
    <row r="34" spans="1:4" x14ac:dyDescent="0.3">
      <c r="A34" s="21" t="s">
        <v>6</v>
      </c>
      <c r="B34" s="22">
        <v>2167</v>
      </c>
      <c r="C34" s="24">
        <v>1950.3</v>
      </c>
      <c r="D34" s="23"/>
    </row>
    <row r="36" spans="1:4" x14ac:dyDescent="0.3">
      <c r="A36" s="20" t="s">
        <v>176</v>
      </c>
      <c r="B36" s="1" t="s">
        <v>167</v>
      </c>
      <c r="C36" s="1" t="s">
        <v>168</v>
      </c>
      <c r="D36" s="1" t="s">
        <v>50</v>
      </c>
    </row>
    <row r="37" spans="1:4" x14ac:dyDescent="0.3">
      <c r="A37" s="21" t="s">
        <v>1</v>
      </c>
      <c r="B37" s="22">
        <v>1434</v>
      </c>
      <c r="C37" s="24">
        <v>1434</v>
      </c>
      <c r="D37" s="21">
        <v>797</v>
      </c>
    </row>
    <row r="38" spans="1:4" x14ac:dyDescent="0.3">
      <c r="A38" s="21" t="s">
        <v>2</v>
      </c>
      <c r="B38" s="22">
        <v>2539</v>
      </c>
      <c r="C38" s="24">
        <v>2539</v>
      </c>
      <c r="D38" s="21"/>
    </row>
    <row r="39" spans="1:4" x14ac:dyDescent="0.3">
      <c r="A39" s="21" t="s">
        <v>3</v>
      </c>
      <c r="B39" s="22">
        <v>4187</v>
      </c>
      <c r="C39" s="24">
        <f>1.5*B39+0.1*SUM(B40:B42)</f>
        <v>7093.4</v>
      </c>
      <c r="D39" s="23"/>
    </row>
    <row r="40" spans="1:4" x14ac:dyDescent="0.3">
      <c r="A40" s="21" t="s">
        <v>4</v>
      </c>
      <c r="B40" s="22">
        <v>3762</v>
      </c>
      <c r="C40" s="24" cm="1">
        <f t="array" ref="C40:C42">0.9*B40:B42</f>
        <v>3385.8</v>
      </c>
      <c r="D40" s="23"/>
    </row>
    <row r="41" spans="1:4" x14ac:dyDescent="0.3">
      <c r="A41" s="21" t="s">
        <v>5</v>
      </c>
      <c r="B41" s="22">
        <v>2200</v>
      </c>
      <c r="C41" s="24">
        <v>1980</v>
      </c>
      <c r="D41" s="23"/>
    </row>
    <row r="42" spans="1:4" x14ac:dyDescent="0.3">
      <c r="A42" s="21" t="s">
        <v>6</v>
      </c>
      <c r="B42" s="22">
        <v>2167</v>
      </c>
      <c r="C42" s="24">
        <v>1950.3</v>
      </c>
      <c r="D42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8B4A-1B51-401C-A4BE-621053725DB1}">
  <dimension ref="A1:R21"/>
  <sheetViews>
    <sheetView workbookViewId="0">
      <selection activeCell="R3" sqref="R3"/>
    </sheetView>
  </sheetViews>
  <sheetFormatPr defaultRowHeight="14.4" x14ac:dyDescent="0.3"/>
  <cols>
    <col min="1" max="1" width="4.5546875" bestFit="1" customWidth="1"/>
    <col min="2" max="2" width="8.44140625" bestFit="1" customWidth="1"/>
    <col min="4" max="4" width="7" bestFit="1" customWidth="1"/>
    <col min="5" max="6" width="11.5546875" bestFit="1" customWidth="1"/>
    <col min="7" max="7" width="15.5546875" bestFit="1" customWidth="1"/>
    <col min="8" max="9" width="11.5546875" bestFit="1" customWidth="1"/>
    <col min="10" max="10" width="9.33203125" bestFit="1" customWidth="1"/>
    <col min="11" max="11" width="14.33203125" bestFit="1" customWidth="1"/>
    <col min="12" max="12" width="15.109375" bestFit="1" customWidth="1"/>
    <col min="14" max="14" width="11" bestFit="1" customWidth="1"/>
    <col min="15" max="15" width="9.5546875" bestFit="1" customWidth="1"/>
    <col min="16" max="16" width="9.44140625" bestFit="1" customWidth="1"/>
    <col min="17" max="17" width="10.6640625" bestFit="1" customWidth="1"/>
    <col min="18" max="18" width="10.44140625" bestFit="1" customWidth="1"/>
  </cols>
  <sheetData>
    <row r="1" spans="1:18" x14ac:dyDescent="0.3">
      <c r="D1" s="4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N1" s="4" t="s">
        <v>33</v>
      </c>
      <c r="O1" s="9" t="s">
        <v>24</v>
      </c>
      <c r="P1" s="9" t="s">
        <v>23</v>
      </c>
      <c r="Q1" s="9" t="s">
        <v>26</v>
      </c>
      <c r="R1" s="9" t="s">
        <v>22</v>
      </c>
    </row>
    <row r="2" spans="1:18" x14ac:dyDescent="0.3">
      <c r="B2" s="1" t="s">
        <v>0</v>
      </c>
      <c r="D2" s="10" t="s">
        <v>27</v>
      </c>
      <c r="E2" s="8">
        <v>0</v>
      </c>
      <c r="F2" s="8">
        <v>0</v>
      </c>
      <c r="G2" s="8">
        <v>54</v>
      </c>
      <c r="H2" s="8">
        <v>0</v>
      </c>
      <c r="I2" s="8">
        <v>1094</v>
      </c>
      <c r="J2" s="8">
        <v>0</v>
      </c>
      <c r="K2" s="8">
        <v>0</v>
      </c>
      <c r="N2" s="9" t="s">
        <v>27</v>
      </c>
    </row>
    <row r="3" spans="1:18" x14ac:dyDescent="0.3">
      <c r="A3" s="1" t="s">
        <v>1</v>
      </c>
      <c r="B3" s="2">
        <v>2841</v>
      </c>
      <c r="D3" s="10" t="s">
        <v>1</v>
      </c>
      <c r="E3" s="8">
        <v>19</v>
      </c>
      <c r="F3" s="8">
        <v>0</v>
      </c>
      <c r="G3" s="8">
        <v>73</v>
      </c>
      <c r="H3" s="8">
        <v>0</v>
      </c>
      <c r="I3" s="8">
        <v>1173</v>
      </c>
      <c r="J3" s="8">
        <v>0</v>
      </c>
      <c r="K3" s="8">
        <v>2920</v>
      </c>
      <c r="N3" s="9" t="s">
        <v>1</v>
      </c>
      <c r="O3">
        <f t="shared" ref="O3:O8" si="0">I2+K3-B3-I3</f>
        <v>0</v>
      </c>
      <c r="P3">
        <f t="shared" ref="P3:P8" si="1">G3*$B$12-H3</f>
        <v>1971</v>
      </c>
      <c r="Q3">
        <f>G3*160/4 + H3/4 - K3</f>
        <v>0</v>
      </c>
      <c r="R3">
        <f>G2+E3-F3-G3</f>
        <v>0</v>
      </c>
    </row>
    <row r="4" spans="1:18" x14ac:dyDescent="0.3">
      <c r="A4" s="1" t="s">
        <v>2</v>
      </c>
      <c r="B4" s="2">
        <v>2539</v>
      </c>
      <c r="D4" s="10" t="s">
        <v>2</v>
      </c>
      <c r="E4" s="8">
        <v>0</v>
      </c>
      <c r="F4" s="8">
        <v>0</v>
      </c>
      <c r="G4" s="8">
        <v>73</v>
      </c>
      <c r="H4" s="8">
        <v>0</v>
      </c>
      <c r="I4" s="8">
        <v>1554</v>
      </c>
      <c r="J4" s="8">
        <v>0</v>
      </c>
      <c r="K4" s="8">
        <v>2920</v>
      </c>
      <c r="N4" s="9" t="s">
        <v>2</v>
      </c>
      <c r="O4">
        <f t="shared" si="0"/>
        <v>0</v>
      </c>
      <c r="P4">
        <f t="shared" si="1"/>
        <v>1971</v>
      </c>
      <c r="Q4">
        <f t="shared" ref="Q4:Q8" si="2">G4*160/4 + H4/4 - K4</f>
        <v>0</v>
      </c>
      <c r="R4">
        <f t="shared" ref="R4:R8" si="3">G3+E4-F4-G4</f>
        <v>0</v>
      </c>
    </row>
    <row r="5" spans="1:18" x14ac:dyDescent="0.3">
      <c r="A5" s="1" t="s">
        <v>3</v>
      </c>
      <c r="B5" s="2">
        <v>4187</v>
      </c>
      <c r="D5" s="10" t="s">
        <v>3</v>
      </c>
      <c r="E5" s="8">
        <v>0</v>
      </c>
      <c r="F5" s="8">
        <v>0</v>
      </c>
      <c r="G5" s="8">
        <v>73</v>
      </c>
      <c r="H5" s="8">
        <v>252</v>
      </c>
      <c r="I5" s="8">
        <v>350</v>
      </c>
      <c r="J5" s="8">
        <v>0</v>
      </c>
      <c r="K5" s="8">
        <v>2983</v>
      </c>
      <c r="N5" s="9" t="s">
        <v>3</v>
      </c>
      <c r="O5">
        <f t="shared" si="0"/>
        <v>0</v>
      </c>
      <c r="P5">
        <f t="shared" si="1"/>
        <v>1719</v>
      </c>
      <c r="Q5">
        <f t="shared" si="2"/>
        <v>0</v>
      </c>
      <c r="R5">
        <f t="shared" si="3"/>
        <v>0</v>
      </c>
    </row>
    <row r="6" spans="1:18" x14ac:dyDescent="0.3">
      <c r="A6" s="1" t="s">
        <v>4</v>
      </c>
      <c r="B6" s="2">
        <v>3762</v>
      </c>
      <c r="D6" s="10" t="s">
        <v>4</v>
      </c>
      <c r="E6" s="8">
        <v>0</v>
      </c>
      <c r="F6" s="8">
        <v>0</v>
      </c>
      <c r="G6" s="8">
        <v>73</v>
      </c>
      <c r="H6" s="8">
        <v>1968</v>
      </c>
      <c r="I6" s="8">
        <v>0</v>
      </c>
      <c r="J6" s="8">
        <v>0</v>
      </c>
      <c r="K6" s="8">
        <v>3412</v>
      </c>
      <c r="N6" s="9" t="s">
        <v>4</v>
      </c>
      <c r="O6">
        <f t="shared" si="0"/>
        <v>0</v>
      </c>
      <c r="P6">
        <f t="shared" si="1"/>
        <v>3</v>
      </c>
      <c r="Q6">
        <f t="shared" si="2"/>
        <v>0</v>
      </c>
      <c r="R6">
        <f t="shared" si="3"/>
        <v>0</v>
      </c>
    </row>
    <row r="7" spans="1:18" x14ac:dyDescent="0.3">
      <c r="A7" s="1" t="s">
        <v>5</v>
      </c>
      <c r="B7" s="2">
        <v>2200</v>
      </c>
      <c r="D7" s="10" t="s">
        <v>5</v>
      </c>
      <c r="E7" s="8">
        <v>0</v>
      </c>
      <c r="F7" s="8">
        <v>18</v>
      </c>
      <c r="G7" s="8">
        <v>55</v>
      </c>
      <c r="H7" s="8">
        <v>0</v>
      </c>
      <c r="I7" s="8">
        <v>0</v>
      </c>
      <c r="J7" s="8">
        <v>0</v>
      </c>
      <c r="K7" s="8">
        <v>2200</v>
      </c>
      <c r="N7" s="9" t="s">
        <v>5</v>
      </c>
      <c r="O7">
        <f t="shared" si="0"/>
        <v>0</v>
      </c>
      <c r="P7">
        <f t="shared" si="1"/>
        <v>1485</v>
      </c>
      <c r="Q7">
        <f t="shared" si="2"/>
        <v>0</v>
      </c>
      <c r="R7">
        <f t="shared" si="3"/>
        <v>0</v>
      </c>
    </row>
    <row r="8" spans="1:18" x14ac:dyDescent="0.3">
      <c r="A8" s="1" t="s">
        <v>6</v>
      </c>
      <c r="B8" s="2">
        <v>2167</v>
      </c>
      <c r="D8" s="10" t="s">
        <v>6</v>
      </c>
      <c r="E8" s="8">
        <v>0</v>
      </c>
      <c r="F8" s="8">
        <v>1</v>
      </c>
      <c r="G8" s="8">
        <v>54</v>
      </c>
      <c r="H8" s="8">
        <v>28</v>
      </c>
      <c r="I8" s="8">
        <v>0</v>
      </c>
      <c r="J8" s="8">
        <v>0</v>
      </c>
      <c r="K8" s="8">
        <v>2167</v>
      </c>
      <c r="N8" s="9" t="s">
        <v>6</v>
      </c>
      <c r="O8">
        <f t="shared" si="0"/>
        <v>0</v>
      </c>
      <c r="P8">
        <f t="shared" si="1"/>
        <v>1430</v>
      </c>
      <c r="Q8">
        <f t="shared" si="2"/>
        <v>0</v>
      </c>
      <c r="R8">
        <f t="shared" si="3"/>
        <v>0</v>
      </c>
    </row>
    <row r="10" spans="1:18" x14ac:dyDescent="0.3">
      <c r="A10" s="3" t="s">
        <v>7</v>
      </c>
      <c r="B10" s="2">
        <v>17</v>
      </c>
      <c r="D10" s="4" t="s">
        <v>28</v>
      </c>
      <c r="E10" s="9" t="s">
        <v>29</v>
      </c>
      <c r="F10" s="9" t="s">
        <v>30</v>
      </c>
      <c r="G10" s="9" t="s">
        <v>34</v>
      </c>
      <c r="H10" s="9" t="s">
        <v>23</v>
      </c>
      <c r="I10" s="9" t="s">
        <v>24</v>
      </c>
      <c r="J10" s="9" t="s">
        <v>31</v>
      </c>
      <c r="K10" s="9" t="s">
        <v>26</v>
      </c>
      <c r="L10" s="6" t="s">
        <v>32</v>
      </c>
    </row>
    <row r="11" spans="1:18" x14ac:dyDescent="0.3">
      <c r="A11" s="3" t="s">
        <v>8</v>
      </c>
      <c r="B11" s="2">
        <v>27</v>
      </c>
      <c r="D11" s="10" t="s">
        <v>27</v>
      </c>
      <c r="E11" s="26"/>
      <c r="F11" s="27"/>
      <c r="G11" s="27"/>
      <c r="H11" s="27"/>
      <c r="I11" s="27"/>
      <c r="J11" s="27"/>
      <c r="K11" s="27"/>
      <c r="L11" s="28"/>
    </row>
    <row r="12" spans="1:18" x14ac:dyDescent="0.3">
      <c r="A12" s="3" t="s">
        <v>9</v>
      </c>
      <c r="B12" s="2">
        <v>27</v>
      </c>
      <c r="D12" s="10" t="s">
        <v>1</v>
      </c>
      <c r="E12" s="29">
        <f t="shared" ref="E12:E17" si="4">E3*$B$15</f>
        <v>10317</v>
      </c>
      <c r="F12" s="29">
        <f t="shared" ref="F12:F17" si="5">F3*$B$16</f>
        <v>0</v>
      </c>
      <c r="G12" s="29">
        <f t="shared" ref="G12:G17" si="6">G3*$B$10*160</f>
        <v>198560</v>
      </c>
      <c r="H12" s="29">
        <f t="shared" ref="H12:H17" si="7">H3*$B$11</f>
        <v>0</v>
      </c>
      <c r="I12" s="29">
        <f t="shared" ref="I12:I17" si="8">I3*$B$18</f>
        <v>16422</v>
      </c>
      <c r="J12" s="29">
        <f t="shared" ref="J12:J17" si="9">J3*$B$21</f>
        <v>0</v>
      </c>
      <c r="K12" s="29">
        <f t="shared" ref="K12:K17" si="10">K3*$B$17</f>
        <v>978200</v>
      </c>
      <c r="L12" s="29">
        <f t="shared" ref="L12:L17" si="11">SUM(E12:K12)</f>
        <v>1203499</v>
      </c>
    </row>
    <row r="13" spans="1:18" x14ac:dyDescent="0.3">
      <c r="A13" s="3" t="s">
        <v>10</v>
      </c>
      <c r="B13" s="2">
        <v>54</v>
      </c>
      <c r="D13" s="10" t="s">
        <v>2</v>
      </c>
      <c r="E13" s="29">
        <f t="shared" si="4"/>
        <v>0</v>
      </c>
      <c r="F13" s="29">
        <f t="shared" si="5"/>
        <v>0</v>
      </c>
      <c r="G13" s="29">
        <f t="shared" si="6"/>
        <v>198560</v>
      </c>
      <c r="H13" s="29">
        <f t="shared" si="7"/>
        <v>0</v>
      </c>
      <c r="I13" s="29">
        <f t="shared" si="8"/>
        <v>21756</v>
      </c>
      <c r="J13" s="29">
        <f t="shared" si="9"/>
        <v>0</v>
      </c>
      <c r="K13" s="29">
        <f t="shared" si="10"/>
        <v>978200</v>
      </c>
      <c r="L13" s="29">
        <f t="shared" si="11"/>
        <v>1198516</v>
      </c>
    </row>
    <row r="14" spans="1:18" x14ac:dyDescent="0.3">
      <c r="A14" s="3" t="s">
        <v>11</v>
      </c>
      <c r="B14" s="2">
        <v>19</v>
      </c>
      <c r="D14" s="10" t="s">
        <v>3</v>
      </c>
      <c r="E14" s="29">
        <f t="shared" si="4"/>
        <v>0</v>
      </c>
      <c r="F14" s="29">
        <f t="shared" si="5"/>
        <v>0</v>
      </c>
      <c r="G14" s="29">
        <f t="shared" si="6"/>
        <v>198560</v>
      </c>
      <c r="H14" s="29">
        <f t="shared" si="7"/>
        <v>6804</v>
      </c>
      <c r="I14" s="29">
        <f t="shared" si="8"/>
        <v>4900</v>
      </c>
      <c r="J14" s="29">
        <f t="shared" si="9"/>
        <v>0</v>
      </c>
      <c r="K14" s="29">
        <f t="shared" si="10"/>
        <v>999305</v>
      </c>
      <c r="L14" s="29">
        <f t="shared" si="11"/>
        <v>1209569</v>
      </c>
    </row>
    <row r="15" spans="1:18" x14ac:dyDescent="0.3">
      <c r="A15" s="3" t="s">
        <v>12</v>
      </c>
      <c r="B15" s="2">
        <v>543</v>
      </c>
      <c r="D15" s="10" t="s">
        <v>4</v>
      </c>
      <c r="E15" s="29">
        <f t="shared" si="4"/>
        <v>0</v>
      </c>
      <c r="F15" s="29">
        <f t="shared" si="5"/>
        <v>0</v>
      </c>
      <c r="G15" s="29">
        <f t="shared" si="6"/>
        <v>198560</v>
      </c>
      <c r="H15" s="29">
        <f t="shared" si="7"/>
        <v>53136</v>
      </c>
      <c r="I15" s="29">
        <f t="shared" si="8"/>
        <v>0</v>
      </c>
      <c r="J15" s="29">
        <f t="shared" si="9"/>
        <v>0</v>
      </c>
      <c r="K15" s="29">
        <f t="shared" si="10"/>
        <v>1143020</v>
      </c>
      <c r="L15" s="29">
        <f t="shared" si="11"/>
        <v>1394716</v>
      </c>
    </row>
    <row r="16" spans="1:18" x14ac:dyDescent="0.3">
      <c r="A16" s="3" t="s">
        <v>13</v>
      </c>
      <c r="B16" s="2">
        <v>1010</v>
      </c>
      <c r="D16" s="10" t="s">
        <v>5</v>
      </c>
      <c r="E16" s="29">
        <f t="shared" si="4"/>
        <v>0</v>
      </c>
      <c r="F16" s="29">
        <f t="shared" si="5"/>
        <v>18180</v>
      </c>
      <c r="G16" s="29">
        <f t="shared" si="6"/>
        <v>149600</v>
      </c>
      <c r="H16" s="29">
        <f t="shared" si="7"/>
        <v>0</v>
      </c>
      <c r="I16" s="29">
        <f t="shared" si="8"/>
        <v>0</v>
      </c>
      <c r="J16" s="29">
        <f t="shared" si="9"/>
        <v>0</v>
      </c>
      <c r="K16" s="29">
        <f t="shared" si="10"/>
        <v>737000</v>
      </c>
      <c r="L16" s="29">
        <f t="shared" si="11"/>
        <v>904780</v>
      </c>
    </row>
    <row r="17" spans="1:12" x14ac:dyDescent="0.3">
      <c r="A17" s="3" t="s">
        <v>14</v>
      </c>
      <c r="B17" s="2">
        <v>335</v>
      </c>
      <c r="D17" s="10" t="s">
        <v>6</v>
      </c>
      <c r="E17" s="29">
        <f t="shared" si="4"/>
        <v>0</v>
      </c>
      <c r="F17" s="29">
        <f t="shared" si="5"/>
        <v>1010</v>
      </c>
      <c r="G17" s="29">
        <f t="shared" si="6"/>
        <v>146880</v>
      </c>
      <c r="H17" s="29">
        <f t="shared" si="7"/>
        <v>756</v>
      </c>
      <c r="I17" s="29">
        <f t="shared" si="8"/>
        <v>0</v>
      </c>
      <c r="J17" s="29">
        <f t="shared" si="9"/>
        <v>0</v>
      </c>
      <c r="K17" s="29">
        <f t="shared" si="10"/>
        <v>725945</v>
      </c>
      <c r="L17" s="29">
        <f t="shared" si="11"/>
        <v>874591</v>
      </c>
    </row>
    <row r="18" spans="1:12" x14ac:dyDescent="0.3">
      <c r="A18" s="3" t="s">
        <v>15</v>
      </c>
      <c r="B18" s="2">
        <v>14</v>
      </c>
    </row>
    <row r="19" spans="1:12" x14ac:dyDescent="0.3">
      <c r="A19" s="3" t="s">
        <v>16</v>
      </c>
      <c r="B19" s="2">
        <v>1094</v>
      </c>
      <c r="K19" s="16" t="s">
        <v>170</v>
      </c>
      <c r="L19" s="17">
        <f>SUM(B3:B8)*B21</f>
        <v>14103712</v>
      </c>
    </row>
    <row r="20" spans="1:12" x14ac:dyDescent="0.3">
      <c r="A20" s="3" t="s">
        <v>17</v>
      </c>
      <c r="B20" s="2">
        <v>461</v>
      </c>
      <c r="K20" s="15" t="s">
        <v>43</v>
      </c>
      <c r="L20" s="14">
        <f>SUM(L11:L17)</f>
        <v>6785671</v>
      </c>
    </row>
    <row r="21" spans="1:12" x14ac:dyDescent="0.3">
      <c r="A21" s="3" t="s">
        <v>18</v>
      </c>
      <c r="B21" s="2">
        <v>797</v>
      </c>
      <c r="K21" s="18" t="s">
        <v>169</v>
      </c>
      <c r="L21" s="19">
        <f>L19-L20</f>
        <v>7318041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C9D5-5124-4BB2-A778-CE81E9EC2FDB}">
  <dimension ref="A1:R21"/>
  <sheetViews>
    <sheetView workbookViewId="0">
      <selection activeCell="D1" sqref="D1:K8"/>
    </sheetView>
  </sheetViews>
  <sheetFormatPr defaultRowHeight="14.4" x14ac:dyDescent="0.3"/>
  <cols>
    <col min="1" max="1" width="4.5546875" bestFit="1" customWidth="1"/>
    <col min="2" max="2" width="8.44140625" bestFit="1" customWidth="1"/>
    <col min="4" max="4" width="7" bestFit="1" customWidth="1"/>
    <col min="5" max="5" width="10.33203125" bestFit="1" customWidth="1"/>
    <col min="6" max="6" width="11.33203125" bestFit="1" customWidth="1"/>
    <col min="7" max="7" width="15.5546875" bestFit="1" customWidth="1"/>
    <col min="8" max="9" width="11.33203125" bestFit="1" customWidth="1"/>
    <col min="10" max="10" width="9.33203125" bestFit="1" customWidth="1"/>
    <col min="11" max="11" width="14" bestFit="1" customWidth="1"/>
    <col min="12" max="12" width="15.109375" bestFit="1" customWidth="1"/>
    <col min="14" max="14" width="11" bestFit="1" customWidth="1"/>
    <col min="15" max="15" width="9.5546875" bestFit="1" customWidth="1"/>
    <col min="16" max="16" width="9.44140625" bestFit="1" customWidth="1"/>
    <col min="17" max="17" width="10.6640625" bestFit="1" customWidth="1"/>
    <col min="18" max="18" width="10.44140625" bestFit="1" customWidth="1"/>
  </cols>
  <sheetData>
    <row r="1" spans="1:18" x14ac:dyDescent="0.3">
      <c r="D1" s="4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N1" s="4" t="s">
        <v>33</v>
      </c>
      <c r="O1" s="9" t="s">
        <v>24</v>
      </c>
      <c r="P1" s="9" t="s">
        <v>23</v>
      </c>
      <c r="Q1" s="9" t="s">
        <v>26</v>
      </c>
      <c r="R1" s="9" t="s">
        <v>22</v>
      </c>
    </row>
    <row r="2" spans="1:18" x14ac:dyDescent="0.3">
      <c r="B2" s="1" t="s">
        <v>0</v>
      </c>
      <c r="D2" s="10" t="s">
        <v>27</v>
      </c>
      <c r="E2" s="8">
        <v>0</v>
      </c>
      <c r="F2" s="8">
        <v>0</v>
      </c>
      <c r="G2" s="8">
        <v>54</v>
      </c>
      <c r="H2" s="8">
        <v>0</v>
      </c>
      <c r="I2" s="8">
        <v>1094</v>
      </c>
      <c r="J2" s="8">
        <v>0</v>
      </c>
      <c r="K2" s="8">
        <v>0</v>
      </c>
      <c r="N2" s="9" t="s">
        <v>27</v>
      </c>
    </row>
    <row r="3" spans="1:18" x14ac:dyDescent="0.3">
      <c r="A3" s="1" t="s">
        <v>1</v>
      </c>
      <c r="B3" s="2">
        <v>3200</v>
      </c>
      <c r="D3" s="10" t="s">
        <v>1</v>
      </c>
      <c r="E3" s="8">
        <v>4</v>
      </c>
      <c r="F3" s="8">
        <v>0</v>
      </c>
      <c r="G3" s="8">
        <v>58</v>
      </c>
      <c r="H3" s="8">
        <v>0</v>
      </c>
      <c r="I3" s="8">
        <v>214</v>
      </c>
      <c r="J3" s="8">
        <v>0</v>
      </c>
      <c r="K3" s="8">
        <v>2320</v>
      </c>
      <c r="N3" s="9" t="s">
        <v>1</v>
      </c>
      <c r="O3">
        <f t="shared" ref="O3:O8" si="0">I2+K3-B3-I3</f>
        <v>0</v>
      </c>
      <c r="P3">
        <f t="shared" ref="P3:P8" si="1">G3*$B$12-H3</f>
        <v>1566</v>
      </c>
      <c r="Q3">
        <f>G3*160/4 + H3/4 - K3</f>
        <v>0</v>
      </c>
      <c r="R3">
        <f>G2+E3-F3-G3</f>
        <v>0</v>
      </c>
    </row>
    <row r="4" spans="1:18" x14ac:dyDescent="0.3">
      <c r="A4" s="1" t="s">
        <v>2</v>
      </c>
      <c r="B4" s="2">
        <v>2285</v>
      </c>
      <c r="D4" s="10" t="s">
        <v>2</v>
      </c>
      <c r="E4" s="8">
        <v>15</v>
      </c>
      <c r="F4" s="8">
        <v>0</v>
      </c>
      <c r="G4" s="8">
        <v>73</v>
      </c>
      <c r="H4" s="8">
        <v>0</v>
      </c>
      <c r="I4" s="8">
        <v>849</v>
      </c>
      <c r="J4" s="8">
        <v>0</v>
      </c>
      <c r="K4" s="8">
        <v>2920</v>
      </c>
      <c r="N4" s="9" t="s">
        <v>2</v>
      </c>
      <c r="O4">
        <f t="shared" si="0"/>
        <v>0</v>
      </c>
      <c r="P4">
        <f t="shared" si="1"/>
        <v>1971</v>
      </c>
      <c r="Q4">
        <f t="shared" ref="Q4:Q8" si="2">G4*160/4 + H4/4 - K4</f>
        <v>0</v>
      </c>
      <c r="R4">
        <f t="shared" ref="R4:R8" si="3">G3+E4-F4-G4</f>
        <v>0</v>
      </c>
    </row>
    <row r="5" spans="1:18" x14ac:dyDescent="0.3">
      <c r="A5" s="1" t="s">
        <v>3</v>
      </c>
      <c r="B5" s="2">
        <v>3768</v>
      </c>
      <c r="D5" s="10" t="s">
        <v>3</v>
      </c>
      <c r="E5" s="8">
        <v>0</v>
      </c>
      <c r="F5" s="8">
        <v>0</v>
      </c>
      <c r="G5" s="8">
        <v>73</v>
      </c>
      <c r="H5" s="8">
        <v>0</v>
      </c>
      <c r="I5" s="8">
        <v>1</v>
      </c>
      <c r="J5" s="8">
        <v>0</v>
      </c>
      <c r="K5" s="8">
        <v>2920</v>
      </c>
      <c r="N5" s="9" t="s">
        <v>3</v>
      </c>
      <c r="O5">
        <f t="shared" si="0"/>
        <v>0</v>
      </c>
      <c r="P5">
        <f t="shared" si="1"/>
        <v>1971</v>
      </c>
      <c r="Q5">
        <f t="shared" si="2"/>
        <v>0</v>
      </c>
      <c r="R5">
        <f t="shared" si="3"/>
        <v>0</v>
      </c>
    </row>
    <row r="6" spans="1:18" x14ac:dyDescent="0.3">
      <c r="A6" s="1" t="s">
        <v>4</v>
      </c>
      <c r="B6" s="2">
        <v>3386</v>
      </c>
      <c r="D6" s="10" t="s">
        <v>4</v>
      </c>
      <c r="E6" s="8">
        <v>0</v>
      </c>
      <c r="F6" s="8">
        <v>0</v>
      </c>
      <c r="G6" s="8">
        <v>73</v>
      </c>
      <c r="H6" s="8">
        <v>1860</v>
      </c>
      <c r="I6" s="8">
        <v>0</v>
      </c>
      <c r="J6" s="8">
        <v>0</v>
      </c>
      <c r="K6" s="8">
        <v>3385</v>
      </c>
      <c r="N6" s="9" t="s">
        <v>4</v>
      </c>
      <c r="O6">
        <f t="shared" si="0"/>
        <v>0</v>
      </c>
      <c r="P6">
        <f t="shared" si="1"/>
        <v>111</v>
      </c>
      <c r="Q6">
        <f t="shared" si="2"/>
        <v>0</v>
      </c>
      <c r="R6">
        <f t="shared" si="3"/>
        <v>0</v>
      </c>
    </row>
    <row r="7" spans="1:18" x14ac:dyDescent="0.3">
      <c r="A7" s="1" t="s">
        <v>5</v>
      </c>
      <c r="B7" s="2">
        <v>2200</v>
      </c>
      <c r="D7" s="10" t="s">
        <v>5</v>
      </c>
      <c r="E7" s="8">
        <v>0</v>
      </c>
      <c r="F7" s="8">
        <v>18</v>
      </c>
      <c r="G7" s="8">
        <v>55</v>
      </c>
      <c r="H7" s="8">
        <v>0</v>
      </c>
      <c r="I7" s="8">
        <v>0</v>
      </c>
      <c r="J7" s="8">
        <v>0</v>
      </c>
      <c r="K7" s="8">
        <v>2200</v>
      </c>
      <c r="N7" s="9" t="s">
        <v>5</v>
      </c>
      <c r="O7">
        <f t="shared" si="0"/>
        <v>0</v>
      </c>
      <c r="P7">
        <f t="shared" si="1"/>
        <v>1485</v>
      </c>
      <c r="Q7">
        <f t="shared" si="2"/>
        <v>0</v>
      </c>
      <c r="R7">
        <f t="shared" si="3"/>
        <v>0</v>
      </c>
    </row>
    <row r="8" spans="1:18" x14ac:dyDescent="0.3">
      <c r="A8" s="1" t="s">
        <v>6</v>
      </c>
      <c r="B8" s="2">
        <v>2167</v>
      </c>
      <c r="D8" s="10" t="s">
        <v>6</v>
      </c>
      <c r="E8" s="8">
        <v>0</v>
      </c>
      <c r="F8" s="8">
        <v>1</v>
      </c>
      <c r="G8" s="8">
        <v>54</v>
      </c>
      <c r="H8" s="8">
        <v>28</v>
      </c>
      <c r="I8" s="8">
        <v>0</v>
      </c>
      <c r="J8" s="8">
        <v>0</v>
      </c>
      <c r="K8" s="8">
        <v>2167</v>
      </c>
      <c r="N8" s="9" t="s">
        <v>6</v>
      </c>
      <c r="O8">
        <f t="shared" si="0"/>
        <v>0</v>
      </c>
      <c r="P8">
        <f t="shared" si="1"/>
        <v>1430</v>
      </c>
      <c r="Q8">
        <f t="shared" si="2"/>
        <v>0</v>
      </c>
      <c r="R8">
        <f t="shared" si="3"/>
        <v>0</v>
      </c>
    </row>
    <row r="10" spans="1:18" x14ac:dyDescent="0.3">
      <c r="A10" s="3" t="s">
        <v>7</v>
      </c>
      <c r="B10" s="2">
        <v>17</v>
      </c>
      <c r="D10" s="4" t="s">
        <v>28</v>
      </c>
      <c r="E10" s="9" t="s">
        <v>29</v>
      </c>
      <c r="F10" s="9" t="s">
        <v>30</v>
      </c>
      <c r="G10" s="9" t="s">
        <v>34</v>
      </c>
      <c r="H10" s="9" t="s">
        <v>23</v>
      </c>
      <c r="I10" s="9" t="s">
        <v>24</v>
      </c>
      <c r="J10" s="9" t="s">
        <v>31</v>
      </c>
      <c r="K10" s="9" t="s">
        <v>26</v>
      </c>
      <c r="L10" s="6" t="s">
        <v>32</v>
      </c>
    </row>
    <row r="11" spans="1:18" x14ac:dyDescent="0.3">
      <c r="A11" s="3" t="s">
        <v>8</v>
      </c>
      <c r="B11" s="2">
        <v>27</v>
      </c>
      <c r="D11" s="10" t="s">
        <v>27</v>
      </c>
      <c r="E11" s="11"/>
      <c r="F11" s="12"/>
      <c r="G11" s="12"/>
      <c r="H11" s="12"/>
      <c r="I11" s="12"/>
      <c r="J11" s="12"/>
      <c r="K11" s="12"/>
      <c r="L11" s="13"/>
    </row>
    <row r="12" spans="1:18" x14ac:dyDescent="0.3">
      <c r="A12" s="3" t="s">
        <v>9</v>
      </c>
      <c r="B12" s="2">
        <v>27</v>
      </c>
      <c r="D12" s="10" t="s">
        <v>1</v>
      </c>
      <c r="E12" s="30">
        <f t="shared" ref="E12:E17" si="4">E3*$B$15</f>
        <v>2172</v>
      </c>
      <c r="F12" s="30">
        <f t="shared" ref="F12:F17" si="5">F3*$B$16</f>
        <v>0</v>
      </c>
      <c r="G12" s="30">
        <f t="shared" ref="G12:G17" si="6">G3*$B$10*160</f>
        <v>157760</v>
      </c>
      <c r="H12" s="30">
        <f t="shared" ref="H12:H17" si="7">H3*$B$11</f>
        <v>0</v>
      </c>
      <c r="I12" s="30">
        <f t="shared" ref="I12:I17" si="8">I3*$B$18</f>
        <v>2996</v>
      </c>
      <c r="J12" s="30">
        <f t="shared" ref="J12:J17" si="9">J3*$B$21</f>
        <v>0</v>
      </c>
      <c r="K12" s="30">
        <f t="shared" ref="K12:K17" si="10">K3*$B$17</f>
        <v>777200</v>
      </c>
      <c r="L12" s="30">
        <f t="shared" ref="L12:L17" si="11">SUM(E12:K12)</f>
        <v>940128</v>
      </c>
    </row>
    <row r="13" spans="1:18" x14ac:dyDescent="0.3">
      <c r="A13" s="3" t="s">
        <v>10</v>
      </c>
      <c r="B13" s="2">
        <v>54</v>
      </c>
      <c r="D13" s="10" t="s">
        <v>2</v>
      </c>
      <c r="E13" s="30">
        <f t="shared" si="4"/>
        <v>8145</v>
      </c>
      <c r="F13" s="30">
        <f t="shared" si="5"/>
        <v>0</v>
      </c>
      <c r="G13" s="30">
        <f t="shared" si="6"/>
        <v>198560</v>
      </c>
      <c r="H13" s="30">
        <f t="shared" si="7"/>
        <v>0</v>
      </c>
      <c r="I13" s="30">
        <f t="shared" si="8"/>
        <v>11886</v>
      </c>
      <c r="J13" s="30">
        <f t="shared" si="9"/>
        <v>0</v>
      </c>
      <c r="K13" s="30">
        <f t="shared" si="10"/>
        <v>978200</v>
      </c>
      <c r="L13" s="30">
        <f t="shared" si="11"/>
        <v>1196791</v>
      </c>
    </row>
    <row r="14" spans="1:18" x14ac:dyDescent="0.3">
      <c r="A14" s="3" t="s">
        <v>11</v>
      </c>
      <c r="B14" s="2">
        <v>19</v>
      </c>
      <c r="D14" s="10" t="s">
        <v>3</v>
      </c>
      <c r="E14" s="30">
        <f t="shared" si="4"/>
        <v>0</v>
      </c>
      <c r="F14" s="30">
        <f t="shared" si="5"/>
        <v>0</v>
      </c>
      <c r="G14" s="30">
        <f t="shared" si="6"/>
        <v>198560</v>
      </c>
      <c r="H14" s="30">
        <f t="shared" si="7"/>
        <v>0</v>
      </c>
      <c r="I14" s="30">
        <f t="shared" si="8"/>
        <v>14</v>
      </c>
      <c r="J14" s="30">
        <f t="shared" si="9"/>
        <v>0</v>
      </c>
      <c r="K14" s="30">
        <f t="shared" si="10"/>
        <v>978200</v>
      </c>
      <c r="L14" s="30">
        <f t="shared" si="11"/>
        <v>1176774</v>
      </c>
    </row>
    <row r="15" spans="1:18" x14ac:dyDescent="0.3">
      <c r="A15" s="3" t="s">
        <v>12</v>
      </c>
      <c r="B15" s="2">
        <v>543</v>
      </c>
      <c r="D15" s="10" t="s">
        <v>4</v>
      </c>
      <c r="E15" s="30">
        <f t="shared" si="4"/>
        <v>0</v>
      </c>
      <c r="F15" s="30">
        <f t="shared" si="5"/>
        <v>0</v>
      </c>
      <c r="G15" s="30">
        <f t="shared" si="6"/>
        <v>198560</v>
      </c>
      <c r="H15" s="30">
        <f t="shared" si="7"/>
        <v>50220</v>
      </c>
      <c r="I15" s="30">
        <f t="shared" si="8"/>
        <v>0</v>
      </c>
      <c r="J15" s="30">
        <f t="shared" si="9"/>
        <v>0</v>
      </c>
      <c r="K15" s="30">
        <f t="shared" si="10"/>
        <v>1133975</v>
      </c>
      <c r="L15" s="30">
        <f t="shared" si="11"/>
        <v>1382755</v>
      </c>
    </row>
    <row r="16" spans="1:18" x14ac:dyDescent="0.3">
      <c r="A16" s="3" t="s">
        <v>13</v>
      </c>
      <c r="B16" s="2">
        <v>1010</v>
      </c>
      <c r="D16" s="10" t="s">
        <v>5</v>
      </c>
      <c r="E16" s="30">
        <f t="shared" si="4"/>
        <v>0</v>
      </c>
      <c r="F16" s="30">
        <f t="shared" si="5"/>
        <v>18180</v>
      </c>
      <c r="G16" s="30">
        <f t="shared" si="6"/>
        <v>149600</v>
      </c>
      <c r="H16" s="30">
        <f t="shared" si="7"/>
        <v>0</v>
      </c>
      <c r="I16" s="30">
        <f t="shared" si="8"/>
        <v>0</v>
      </c>
      <c r="J16" s="30">
        <f t="shared" si="9"/>
        <v>0</v>
      </c>
      <c r="K16" s="30">
        <f t="shared" si="10"/>
        <v>737000</v>
      </c>
      <c r="L16" s="30">
        <f t="shared" si="11"/>
        <v>904780</v>
      </c>
    </row>
    <row r="17" spans="1:12" x14ac:dyDescent="0.3">
      <c r="A17" s="3" t="s">
        <v>14</v>
      </c>
      <c r="B17" s="2">
        <v>335</v>
      </c>
      <c r="D17" s="10" t="s">
        <v>6</v>
      </c>
      <c r="E17" s="30">
        <f t="shared" si="4"/>
        <v>0</v>
      </c>
      <c r="F17" s="30">
        <f t="shared" si="5"/>
        <v>1010</v>
      </c>
      <c r="G17" s="30">
        <f t="shared" si="6"/>
        <v>146880</v>
      </c>
      <c r="H17" s="30">
        <f t="shared" si="7"/>
        <v>756</v>
      </c>
      <c r="I17" s="30">
        <f t="shared" si="8"/>
        <v>0</v>
      </c>
      <c r="J17" s="30">
        <f t="shared" si="9"/>
        <v>0</v>
      </c>
      <c r="K17" s="30">
        <f t="shared" si="10"/>
        <v>725945</v>
      </c>
      <c r="L17" s="30">
        <f t="shared" si="11"/>
        <v>874591</v>
      </c>
    </row>
    <row r="18" spans="1:12" x14ac:dyDescent="0.3">
      <c r="A18" s="3" t="s">
        <v>15</v>
      </c>
      <c r="B18" s="2">
        <v>14</v>
      </c>
    </row>
    <row r="19" spans="1:12" x14ac:dyDescent="0.3">
      <c r="A19" s="3" t="s">
        <v>16</v>
      </c>
      <c r="B19" s="2">
        <v>1094</v>
      </c>
      <c r="K19" s="16" t="s">
        <v>170</v>
      </c>
      <c r="L19" s="17">
        <f>SUM(B3:B8)*B21</f>
        <v>13553782</v>
      </c>
    </row>
    <row r="20" spans="1:12" x14ac:dyDescent="0.3">
      <c r="A20" s="3" t="s">
        <v>17</v>
      </c>
      <c r="B20" s="2">
        <v>461</v>
      </c>
      <c r="K20" s="15" t="s">
        <v>43</v>
      </c>
      <c r="L20" s="14">
        <f>SUM(L11:L17)</f>
        <v>6475819</v>
      </c>
    </row>
    <row r="21" spans="1:12" x14ac:dyDescent="0.3">
      <c r="A21" s="3" t="s">
        <v>18</v>
      </c>
      <c r="B21" s="2">
        <v>797</v>
      </c>
      <c r="K21" s="18" t="s">
        <v>169</v>
      </c>
      <c r="L21" s="19">
        <f>L19-L20</f>
        <v>7077963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A9C4-A65B-4854-AB94-B741F49570F0}">
  <dimension ref="A1:R21"/>
  <sheetViews>
    <sheetView workbookViewId="0">
      <selection activeCell="K8" sqref="D1:K8"/>
    </sheetView>
  </sheetViews>
  <sheetFormatPr defaultRowHeight="14.4" x14ac:dyDescent="0.3"/>
  <cols>
    <col min="1" max="1" width="4.5546875" bestFit="1" customWidth="1"/>
    <col min="2" max="2" width="8.44140625" bestFit="1" customWidth="1"/>
    <col min="4" max="4" width="7" bestFit="1" customWidth="1"/>
    <col min="5" max="6" width="10.5546875" bestFit="1" customWidth="1"/>
    <col min="7" max="7" width="15.5546875" bestFit="1" customWidth="1"/>
    <col min="8" max="8" width="9.5546875" bestFit="1" customWidth="1"/>
    <col min="9" max="9" width="11.5546875" bestFit="1" customWidth="1"/>
    <col min="10" max="10" width="9.33203125" bestFit="1" customWidth="1"/>
    <col min="11" max="11" width="12.5546875" bestFit="1" customWidth="1"/>
    <col min="12" max="12" width="15.109375" bestFit="1" customWidth="1"/>
    <col min="14" max="14" width="11" bestFit="1" customWidth="1"/>
    <col min="15" max="15" width="9.5546875" bestFit="1" customWidth="1"/>
    <col min="16" max="16" width="9.44140625" bestFit="1" customWidth="1"/>
    <col min="17" max="17" width="10.6640625" bestFit="1" customWidth="1"/>
    <col min="18" max="18" width="10.44140625" bestFit="1" customWidth="1"/>
  </cols>
  <sheetData>
    <row r="1" spans="1:18" x14ac:dyDescent="0.3">
      <c r="D1" s="4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N1" s="4" t="s">
        <v>33</v>
      </c>
      <c r="O1" s="9" t="s">
        <v>24</v>
      </c>
      <c r="P1" s="9" t="s">
        <v>23</v>
      </c>
      <c r="Q1" s="9" t="s">
        <v>26</v>
      </c>
      <c r="R1" s="9" t="s">
        <v>22</v>
      </c>
    </row>
    <row r="2" spans="1:18" x14ac:dyDescent="0.3">
      <c r="B2" s="1" t="s">
        <v>0</v>
      </c>
      <c r="D2" s="10" t="s">
        <v>27</v>
      </c>
      <c r="E2" s="8">
        <v>0</v>
      </c>
      <c r="F2" s="8">
        <v>0</v>
      </c>
      <c r="G2" s="8">
        <v>54</v>
      </c>
      <c r="H2" s="8">
        <v>0</v>
      </c>
      <c r="I2" s="8">
        <v>1094</v>
      </c>
      <c r="J2" s="8">
        <v>0</v>
      </c>
      <c r="K2" s="8">
        <v>0</v>
      </c>
      <c r="N2" s="9" t="s">
        <v>27</v>
      </c>
    </row>
    <row r="3" spans="1:18" x14ac:dyDescent="0.3">
      <c r="A3" s="1" t="s">
        <v>1</v>
      </c>
      <c r="B3" s="2">
        <v>1004</v>
      </c>
      <c r="D3" s="10" t="s">
        <v>1</v>
      </c>
      <c r="E3" s="8">
        <v>0</v>
      </c>
      <c r="F3" s="8">
        <v>0</v>
      </c>
      <c r="G3" s="8">
        <v>54</v>
      </c>
      <c r="H3" s="8">
        <v>0</v>
      </c>
      <c r="I3" s="8">
        <v>2239</v>
      </c>
      <c r="J3" s="8">
        <v>0</v>
      </c>
      <c r="K3" s="8">
        <v>2149</v>
      </c>
      <c r="N3" s="9" t="s">
        <v>1</v>
      </c>
      <c r="O3">
        <f t="shared" ref="O3:O8" si="0">I2+K3-B3-I3</f>
        <v>0</v>
      </c>
      <c r="P3">
        <f t="shared" ref="P3:P8" si="1">G3*$B$12-H3</f>
        <v>1458</v>
      </c>
      <c r="Q3">
        <f>G3*160/4 + H3/4 - K3</f>
        <v>11</v>
      </c>
      <c r="R3">
        <f>G2+E3-F3-G3</f>
        <v>0</v>
      </c>
    </row>
    <row r="4" spans="1:18" x14ac:dyDescent="0.3">
      <c r="A4" s="1" t="s">
        <v>2</v>
      </c>
      <c r="B4" s="2">
        <v>2285</v>
      </c>
      <c r="D4" s="10" t="s">
        <v>2</v>
      </c>
      <c r="E4" s="8">
        <v>6</v>
      </c>
      <c r="F4" s="8">
        <v>0</v>
      </c>
      <c r="G4" s="8">
        <v>60</v>
      </c>
      <c r="H4" s="8">
        <v>0</v>
      </c>
      <c r="I4" s="8">
        <v>2354</v>
      </c>
      <c r="J4" s="8">
        <v>0</v>
      </c>
      <c r="K4" s="8">
        <v>2400</v>
      </c>
      <c r="N4" s="9" t="s">
        <v>2</v>
      </c>
      <c r="O4">
        <f t="shared" si="0"/>
        <v>0</v>
      </c>
      <c r="P4">
        <f t="shared" si="1"/>
        <v>1620</v>
      </c>
      <c r="Q4">
        <f t="shared" ref="Q4:Q8" si="2">G4*160/4 + H4/4 - K4</f>
        <v>0</v>
      </c>
      <c r="R4">
        <f t="shared" ref="R4:R8" si="3">G3+E4-F4-G4</f>
        <v>0</v>
      </c>
    </row>
    <row r="5" spans="1:18" x14ac:dyDescent="0.3">
      <c r="A5" s="1" t="s">
        <v>3</v>
      </c>
      <c r="B5" s="2">
        <v>3768</v>
      </c>
      <c r="D5" s="10" t="s">
        <v>3</v>
      </c>
      <c r="E5" s="8">
        <v>0</v>
      </c>
      <c r="F5" s="8">
        <v>0</v>
      </c>
      <c r="G5" s="8">
        <v>60</v>
      </c>
      <c r="H5" s="8">
        <v>0</v>
      </c>
      <c r="I5" s="8">
        <v>986</v>
      </c>
      <c r="J5" s="8">
        <v>0</v>
      </c>
      <c r="K5" s="8">
        <v>2400</v>
      </c>
      <c r="N5" s="9" t="s">
        <v>3</v>
      </c>
      <c r="O5">
        <f t="shared" si="0"/>
        <v>0</v>
      </c>
      <c r="P5">
        <f t="shared" si="1"/>
        <v>1620</v>
      </c>
      <c r="Q5">
        <f t="shared" si="2"/>
        <v>0</v>
      </c>
      <c r="R5">
        <f t="shared" si="3"/>
        <v>0</v>
      </c>
    </row>
    <row r="6" spans="1:18" x14ac:dyDescent="0.3">
      <c r="A6" s="1" t="s">
        <v>4</v>
      </c>
      <c r="B6" s="2">
        <v>3386</v>
      </c>
      <c r="D6" s="10" t="s">
        <v>4</v>
      </c>
      <c r="E6" s="8">
        <v>0</v>
      </c>
      <c r="F6" s="8">
        <v>0</v>
      </c>
      <c r="G6" s="8">
        <v>60</v>
      </c>
      <c r="H6" s="8">
        <v>0</v>
      </c>
      <c r="I6" s="8">
        <v>0</v>
      </c>
      <c r="J6" s="8">
        <v>0</v>
      </c>
      <c r="K6" s="8">
        <v>2400</v>
      </c>
      <c r="N6" s="9" t="s">
        <v>4</v>
      </c>
      <c r="O6">
        <f t="shared" si="0"/>
        <v>0</v>
      </c>
      <c r="P6">
        <f t="shared" si="1"/>
        <v>1620</v>
      </c>
      <c r="Q6">
        <f t="shared" si="2"/>
        <v>0</v>
      </c>
      <c r="R6">
        <f t="shared" si="3"/>
        <v>0</v>
      </c>
    </row>
    <row r="7" spans="1:18" x14ac:dyDescent="0.3">
      <c r="A7" s="1" t="s">
        <v>5</v>
      </c>
      <c r="B7" s="2">
        <v>2200</v>
      </c>
      <c r="D7" s="10" t="s">
        <v>5</v>
      </c>
      <c r="E7" s="8">
        <v>0</v>
      </c>
      <c r="F7" s="8">
        <v>5</v>
      </c>
      <c r="G7" s="8">
        <v>55</v>
      </c>
      <c r="H7" s="8">
        <v>0</v>
      </c>
      <c r="I7" s="8">
        <v>0</v>
      </c>
      <c r="J7" s="8">
        <v>0</v>
      </c>
      <c r="K7" s="8">
        <v>2200</v>
      </c>
      <c r="N7" s="9" t="s">
        <v>5</v>
      </c>
      <c r="O7">
        <f t="shared" si="0"/>
        <v>0</v>
      </c>
      <c r="P7">
        <f t="shared" si="1"/>
        <v>1485</v>
      </c>
      <c r="Q7">
        <f t="shared" si="2"/>
        <v>0</v>
      </c>
      <c r="R7">
        <f t="shared" si="3"/>
        <v>0</v>
      </c>
    </row>
    <row r="8" spans="1:18" x14ac:dyDescent="0.3">
      <c r="A8" s="1" t="s">
        <v>6</v>
      </c>
      <c r="B8" s="2">
        <v>2167</v>
      </c>
      <c r="D8" s="10" t="s">
        <v>6</v>
      </c>
      <c r="E8" s="8">
        <v>0</v>
      </c>
      <c r="F8" s="8">
        <v>0</v>
      </c>
      <c r="G8" s="8">
        <v>55</v>
      </c>
      <c r="H8" s="8">
        <v>0</v>
      </c>
      <c r="I8" s="8">
        <v>0</v>
      </c>
      <c r="J8" s="8">
        <v>0</v>
      </c>
      <c r="K8" s="8">
        <v>2167</v>
      </c>
      <c r="N8" s="9" t="s">
        <v>6</v>
      </c>
      <c r="O8">
        <f t="shared" si="0"/>
        <v>0</v>
      </c>
      <c r="P8">
        <f t="shared" si="1"/>
        <v>1485</v>
      </c>
      <c r="Q8">
        <f t="shared" si="2"/>
        <v>33</v>
      </c>
      <c r="R8">
        <f t="shared" si="3"/>
        <v>0</v>
      </c>
    </row>
    <row r="10" spans="1:18" x14ac:dyDescent="0.3">
      <c r="A10" s="3" t="s">
        <v>7</v>
      </c>
      <c r="B10" s="2">
        <v>17</v>
      </c>
      <c r="D10" s="4" t="s">
        <v>28</v>
      </c>
      <c r="E10" s="9" t="s">
        <v>29</v>
      </c>
      <c r="F10" s="9" t="s">
        <v>30</v>
      </c>
      <c r="G10" s="9" t="s">
        <v>34</v>
      </c>
      <c r="H10" s="9" t="s">
        <v>23</v>
      </c>
      <c r="I10" s="9" t="s">
        <v>24</v>
      </c>
      <c r="J10" s="9" t="s">
        <v>31</v>
      </c>
      <c r="K10" s="9" t="s">
        <v>26</v>
      </c>
      <c r="L10" s="6" t="s">
        <v>32</v>
      </c>
    </row>
    <row r="11" spans="1:18" x14ac:dyDescent="0.3">
      <c r="A11" s="3" t="s">
        <v>8</v>
      </c>
      <c r="B11" s="2">
        <v>27</v>
      </c>
      <c r="D11" s="10" t="s">
        <v>27</v>
      </c>
      <c r="E11" s="11"/>
      <c r="F11" s="12"/>
      <c r="G11" s="12"/>
      <c r="H11" s="12"/>
      <c r="I11" s="12"/>
      <c r="J11" s="12"/>
      <c r="K11" s="12"/>
      <c r="L11" s="13"/>
    </row>
    <row r="12" spans="1:18" x14ac:dyDescent="0.3">
      <c r="A12" s="3" t="s">
        <v>9</v>
      </c>
      <c r="B12" s="2">
        <v>27</v>
      </c>
      <c r="D12" s="10" t="s">
        <v>1</v>
      </c>
      <c r="E12" s="29">
        <f t="shared" ref="E12:E17" si="4">E3*$B$15</f>
        <v>0</v>
      </c>
      <c r="F12" s="29">
        <f t="shared" ref="F12:F17" si="5">F3*$B$16</f>
        <v>0</v>
      </c>
      <c r="G12" s="29">
        <f t="shared" ref="G12:G17" si="6">G3*$B$10*160</f>
        <v>146880</v>
      </c>
      <c r="H12" s="29">
        <f t="shared" ref="H12:H17" si="7">H3*$B$11</f>
        <v>0</v>
      </c>
      <c r="I12" s="29">
        <f t="shared" ref="I12:I17" si="8">I3*$B$18</f>
        <v>31346</v>
      </c>
      <c r="J12" s="29">
        <f t="shared" ref="J12:J17" si="9">J3*$B$21</f>
        <v>0</v>
      </c>
      <c r="K12" s="29">
        <f t="shared" ref="K12:K17" si="10">K3*$B$17</f>
        <v>719915</v>
      </c>
      <c r="L12" s="29">
        <f t="shared" ref="L12:L17" si="11">SUM(E12:K12)</f>
        <v>898141</v>
      </c>
    </row>
    <row r="13" spans="1:18" x14ac:dyDescent="0.3">
      <c r="A13" s="3" t="s">
        <v>10</v>
      </c>
      <c r="B13" s="2">
        <v>54</v>
      </c>
      <c r="D13" s="10" t="s">
        <v>2</v>
      </c>
      <c r="E13" s="29">
        <f t="shared" si="4"/>
        <v>3258</v>
      </c>
      <c r="F13" s="29">
        <f t="shared" si="5"/>
        <v>0</v>
      </c>
      <c r="G13" s="29">
        <f t="shared" si="6"/>
        <v>163200</v>
      </c>
      <c r="H13" s="29">
        <f t="shared" si="7"/>
        <v>0</v>
      </c>
      <c r="I13" s="29">
        <f t="shared" si="8"/>
        <v>32956</v>
      </c>
      <c r="J13" s="29">
        <f t="shared" si="9"/>
        <v>0</v>
      </c>
      <c r="K13" s="29">
        <f t="shared" si="10"/>
        <v>804000</v>
      </c>
      <c r="L13" s="29">
        <f t="shared" si="11"/>
        <v>1003414</v>
      </c>
    </row>
    <row r="14" spans="1:18" x14ac:dyDescent="0.3">
      <c r="A14" s="3" t="s">
        <v>11</v>
      </c>
      <c r="B14" s="2">
        <v>19</v>
      </c>
      <c r="D14" s="10" t="s">
        <v>3</v>
      </c>
      <c r="E14" s="29">
        <f t="shared" si="4"/>
        <v>0</v>
      </c>
      <c r="F14" s="29">
        <f t="shared" si="5"/>
        <v>0</v>
      </c>
      <c r="G14" s="29">
        <f t="shared" si="6"/>
        <v>163200</v>
      </c>
      <c r="H14" s="29">
        <f t="shared" si="7"/>
        <v>0</v>
      </c>
      <c r="I14" s="29">
        <f t="shared" si="8"/>
        <v>13804</v>
      </c>
      <c r="J14" s="29">
        <f t="shared" si="9"/>
        <v>0</v>
      </c>
      <c r="K14" s="29">
        <f t="shared" si="10"/>
        <v>804000</v>
      </c>
      <c r="L14" s="29">
        <f t="shared" si="11"/>
        <v>981004</v>
      </c>
    </row>
    <row r="15" spans="1:18" x14ac:dyDescent="0.3">
      <c r="A15" s="3" t="s">
        <v>12</v>
      </c>
      <c r="B15" s="2">
        <v>543</v>
      </c>
      <c r="D15" s="10" t="s">
        <v>4</v>
      </c>
      <c r="E15" s="29">
        <f t="shared" si="4"/>
        <v>0</v>
      </c>
      <c r="F15" s="29">
        <f t="shared" si="5"/>
        <v>0</v>
      </c>
      <c r="G15" s="29">
        <f t="shared" si="6"/>
        <v>163200</v>
      </c>
      <c r="H15" s="29">
        <f t="shared" si="7"/>
        <v>0</v>
      </c>
      <c r="I15" s="29">
        <f t="shared" si="8"/>
        <v>0</v>
      </c>
      <c r="J15" s="29">
        <f t="shared" si="9"/>
        <v>0</v>
      </c>
      <c r="K15" s="29">
        <f t="shared" si="10"/>
        <v>804000</v>
      </c>
      <c r="L15" s="29">
        <f t="shared" si="11"/>
        <v>967200</v>
      </c>
    </row>
    <row r="16" spans="1:18" x14ac:dyDescent="0.3">
      <c r="A16" s="3" t="s">
        <v>13</v>
      </c>
      <c r="B16" s="2">
        <v>1010</v>
      </c>
      <c r="D16" s="10" t="s">
        <v>5</v>
      </c>
      <c r="E16" s="29">
        <f t="shared" si="4"/>
        <v>0</v>
      </c>
      <c r="F16" s="29">
        <f t="shared" si="5"/>
        <v>5050</v>
      </c>
      <c r="G16" s="29">
        <f t="shared" si="6"/>
        <v>149600</v>
      </c>
      <c r="H16" s="29">
        <f t="shared" si="7"/>
        <v>0</v>
      </c>
      <c r="I16" s="29">
        <f t="shared" si="8"/>
        <v>0</v>
      </c>
      <c r="J16" s="29">
        <f t="shared" si="9"/>
        <v>0</v>
      </c>
      <c r="K16" s="29">
        <f t="shared" si="10"/>
        <v>737000</v>
      </c>
      <c r="L16" s="29">
        <f t="shared" si="11"/>
        <v>891650</v>
      </c>
    </row>
    <row r="17" spans="1:12" x14ac:dyDescent="0.3">
      <c r="A17" s="3" t="s">
        <v>14</v>
      </c>
      <c r="B17" s="2">
        <v>335</v>
      </c>
      <c r="D17" s="10" t="s">
        <v>6</v>
      </c>
      <c r="E17" s="29">
        <f t="shared" si="4"/>
        <v>0</v>
      </c>
      <c r="F17" s="29">
        <f t="shared" si="5"/>
        <v>0</v>
      </c>
      <c r="G17" s="29">
        <f t="shared" si="6"/>
        <v>149600</v>
      </c>
      <c r="H17" s="29">
        <f t="shared" si="7"/>
        <v>0</v>
      </c>
      <c r="I17" s="29">
        <f t="shared" si="8"/>
        <v>0</v>
      </c>
      <c r="J17" s="29">
        <f t="shared" si="9"/>
        <v>0</v>
      </c>
      <c r="K17" s="29">
        <f t="shared" si="10"/>
        <v>725945</v>
      </c>
      <c r="L17" s="29">
        <f t="shared" si="11"/>
        <v>875545</v>
      </c>
    </row>
    <row r="18" spans="1:12" x14ac:dyDescent="0.3">
      <c r="A18" s="3" t="s">
        <v>15</v>
      </c>
      <c r="B18" s="2">
        <v>14</v>
      </c>
    </row>
    <row r="19" spans="1:12" x14ac:dyDescent="0.3">
      <c r="A19" s="3" t="s">
        <v>16</v>
      </c>
      <c r="B19" s="2">
        <v>1094</v>
      </c>
      <c r="K19" s="16" t="s">
        <v>170</v>
      </c>
      <c r="L19" s="17">
        <f>SUM(B3:B8)*B21</f>
        <v>12544070</v>
      </c>
    </row>
    <row r="20" spans="1:12" x14ac:dyDescent="0.3">
      <c r="A20" s="3" t="s">
        <v>17</v>
      </c>
      <c r="B20" s="2">
        <v>461</v>
      </c>
      <c r="K20" s="15" t="s">
        <v>43</v>
      </c>
      <c r="L20" s="14">
        <f>SUM(L11:L17)</f>
        <v>5616954</v>
      </c>
    </row>
    <row r="21" spans="1:12" x14ac:dyDescent="0.3">
      <c r="A21" s="3" t="s">
        <v>18</v>
      </c>
      <c r="B21" s="2">
        <v>847</v>
      </c>
      <c r="K21" s="18" t="s">
        <v>169</v>
      </c>
      <c r="L21" s="19">
        <f>L19-L20</f>
        <v>6927116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8FDC-CA5C-4D0E-95E2-8C64A1A24676}">
  <dimension ref="A1:R21"/>
  <sheetViews>
    <sheetView workbookViewId="0">
      <selection activeCell="K8" sqref="D1:K8"/>
    </sheetView>
  </sheetViews>
  <sheetFormatPr defaultRowHeight="14.4" x14ac:dyDescent="0.3"/>
  <cols>
    <col min="1" max="1" width="4.5546875" bestFit="1" customWidth="1"/>
    <col min="2" max="2" width="8.44140625" bestFit="1" customWidth="1"/>
    <col min="4" max="4" width="7" bestFit="1" customWidth="1"/>
    <col min="5" max="5" width="10.5546875" bestFit="1" customWidth="1"/>
    <col min="6" max="6" width="11.5546875" bestFit="1" customWidth="1"/>
    <col min="7" max="7" width="15.5546875" bestFit="1" customWidth="1"/>
    <col min="8" max="9" width="11.5546875" bestFit="1" customWidth="1"/>
    <col min="10" max="10" width="9.33203125" bestFit="1" customWidth="1"/>
    <col min="11" max="11" width="14.33203125" bestFit="1" customWidth="1"/>
    <col min="12" max="12" width="15.109375" bestFit="1" customWidth="1"/>
    <col min="14" max="14" width="11" bestFit="1" customWidth="1"/>
    <col min="15" max="15" width="9.5546875" bestFit="1" customWidth="1"/>
    <col min="16" max="16" width="9.44140625" bestFit="1" customWidth="1"/>
    <col min="17" max="17" width="10.6640625" bestFit="1" customWidth="1"/>
    <col min="18" max="18" width="10.44140625" bestFit="1" customWidth="1"/>
  </cols>
  <sheetData>
    <row r="1" spans="1:18" x14ac:dyDescent="0.3">
      <c r="D1" s="4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N1" s="4" t="s">
        <v>33</v>
      </c>
      <c r="O1" s="9" t="s">
        <v>24</v>
      </c>
      <c r="P1" s="9" t="s">
        <v>23</v>
      </c>
      <c r="Q1" s="9" t="s">
        <v>26</v>
      </c>
      <c r="R1" s="9" t="s">
        <v>22</v>
      </c>
    </row>
    <row r="2" spans="1:18" x14ac:dyDescent="0.3">
      <c r="B2" s="1" t="s">
        <v>0</v>
      </c>
      <c r="D2" s="10" t="s">
        <v>27</v>
      </c>
      <c r="E2" s="8">
        <v>0</v>
      </c>
      <c r="F2" s="8">
        <v>0</v>
      </c>
      <c r="G2" s="8">
        <v>54</v>
      </c>
      <c r="H2" s="8">
        <v>0</v>
      </c>
      <c r="I2" s="8">
        <v>1094</v>
      </c>
      <c r="J2" s="8">
        <v>0</v>
      </c>
      <c r="K2" s="8">
        <v>0</v>
      </c>
      <c r="N2" s="9" t="s">
        <v>27</v>
      </c>
    </row>
    <row r="3" spans="1:18" x14ac:dyDescent="0.3">
      <c r="A3" s="1" t="s">
        <v>1</v>
      </c>
      <c r="B3" s="2">
        <v>1004</v>
      </c>
      <c r="D3" s="10" t="s">
        <v>1</v>
      </c>
      <c r="E3" s="8">
        <v>16</v>
      </c>
      <c r="F3" s="8">
        <v>0</v>
      </c>
      <c r="G3" s="8">
        <v>70</v>
      </c>
      <c r="H3" s="8">
        <v>0</v>
      </c>
      <c r="I3" s="8">
        <v>2890</v>
      </c>
      <c r="J3" s="8">
        <v>0</v>
      </c>
      <c r="K3" s="8">
        <v>2800</v>
      </c>
      <c r="N3" s="9" t="s">
        <v>1</v>
      </c>
      <c r="O3">
        <f t="shared" ref="O3:O8" si="0">I2+K3-B3-I3</f>
        <v>0</v>
      </c>
      <c r="P3">
        <f t="shared" ref="P3:P8" si="1">G3*$B$12-H3</f>
        <v>1890</v>
      </c>
      <c r="Q3">
        <f>G3*160/4 + H3/4 - K3</f>
        <v>0</v>
      </c>
      <c r="R3">
        <f>G2+E3-F3-G3</f>
        <v>0</v>
      </c>
    </row>
    <row r="4" spans="1:18" x14ac:dyDescent="0.3">
      <c r="A4" s="1" t="s">
        <v>2</v>
      </c>
      <c r="B4" s="2">
        <v>2285</v>
      </c>
      <c r="D4" s="10" t="s">
        <v>2</v>
      </c>
      <c r="E4" s="8">
        <v>3</v>
      </c>
      <c r="F4" s="8">
        <v>0</v>
      </c>
      <c r="G4" s="8">
        <v>73</v>
      </c>
      <c r="H4" s="8">
        <v>0</v>
      </c>
      <c r="I4" s="8">
        <v>3525</v>
      </c>
      <c r="J4" s="8">
        <v>0</v>
      </c>
      <c r="K4" s="8">
        <v>2920</v>
      </c>
      <c r="N4" s="9" t="s">
        <v>2</v>
      </c>
      <c r="O4">
        <f t="shared" si="0"/>
        <v>0</v>
      </c>
      <c r="P4">
        <f t="shared" si="1"/>
        <v>1971</v>
      </c>
      <c r="Q4">
        <f t="shared" ref="Q4:Q8" si="2">G4*160/4 + H4/4 - K4</f>
        <v>0</v>
      </c>
      <c r="R4">
        <f t="shared" ref="R4:R8" si="3">G3+E4-F4-G4</f>
        <v>0</v>
      </c>
    </row>
    <row r="5" spans="1:18" x14ac:dyDescent="0.3">
      <c r="A5" s="1" t="s">
        <v>3</v>
      </c>
      <c r="B5" s="2">
        <v>6428</v>
      </c>
      <c r="D5" s="10" t="s">
        <v>3</v>
      </c>
      <c r="E5" s="8">
        <v>0</v>
      </c>
      <c r="F5" s="8">
        <v>0</v>
      </c>
      <c r="G5" s="8">
        <v>73</v>
      </c>
      <c r="H5" s="8">
        <v>0</v>
      </c>
      <c r="I5" s="8">
        <v>17</v>
      </c>
      <c r="J5" s="8">
        <v>0</v>
      </c>
      <c r="K5" s="8">
        <v>2920</v>
      </c>
      <c r="N5" s="9" t="s">
        <v>3</v>
      </c>
      <c r="O5">
        <f t="shared" si="0"/>
        <v>0</v>
      </c>
      <c r="P5">
        <f t="shared" si="1"/>
        <v>1971</v>
      </c>
      <c r="Q5">
        <f t="shared" si="2"/>
        <v>0</v>
      </c>
      <c r="R5">
        <f t="shared" si="3"/>
        <v>0</v>
      </c>
    </row>
    <row r="6" spans="1:18" x14ac:dyDescent="0.3">
      <c r="A6" s="1" t="s">
        <v>4</v>
      </c>
      <c r="B6" s="2">
        <v>3047</v>
      </c>
      <c r="D6" s="10" t="s">
        <v>4</v>
      </c>
      <c r="E6" s="8">
        <v>0</v>
      </c>
      <c r="F6" s="8">
        <v>0</v>
      </c>
      <c r="G6" s="8">
        <v>73</v>
      </c>
      <c r="H6" s="8">
        <v>440</v>
      </c>
      <c r="I6" s="8">
        <v>0</v>
      </c>
      <c r="J6" s="8">
        <v>0</v>
      </c>
      <c r="K6" s="8">
        <v>3030</v>
      </c>
      <c r="N6" s="9" t="s">
        <v>4</v>
      </c>
      <c r="O6">
        <f t="shared" si="0"/>
        <v>0</v>
      </c>
      <c r="P6">
        <f t="shared" si="1"/>
        <v>1531</v>
      </c>
      <c r="Q6">
        <f t="shared" si="2"/>
        <v>0</v>
      </c>
      <c r="R6">
        <f t="shared" si="3"/>
        <v>0</v>
      </c>
    </row>
    <row r="7" spans="1:18" x14ac:dyDescent="0.3">
      <c r="A7" s="1" t="s">
        <v>5</v>
      </c>
      <c r="B7" s="2">
        <v>1980</v>
      </c>
      <c r="D7" s="10" t="s">
        <v>5</v>
      </c>
      <c r="E7" s="8">
        <v>0</v>
      </c>
      <c r="F7" s="8">
        <v>19</v>
      </c>
      <c r="G7" s="8">
        <v>54</v>
      </c>
      <c r="H7" s="8">
        <v>0</v>
      </c>
      <c r="I7" s="8">
        <v>0</v>
      </c>
      <c r="J7" s="8">
        <v>0</v>
      </c>
      <c r="K7" s="8">
        <v>1980</v>
      </c>
      <c r="N7" s="9" t="s">
        <v>5</v>
      </c>
      <c r="O7">
        <f t="shared" si="0"/>
        <v>0</v>
      </c>
      <c r="P7">
        <f t="shared" si="1"/>
        <v>1458</v>
      </c>
      <c r="Q7">
        <f t="shared" si="2"/>
        <v>180</v>
      </c>
      <c r="R7">
        <f t="shared" si="3"/>
        <v>0</v>
      </c>
    </row>
    <row r="8" spans="1:18" x14ac:dyDescent="0.3">
      <c r="A8" s="1" t="s">
        <v>6</v>
      </c>
      <c r="B8" s="2">
        <v>1950</v>
      </c>
      <c r="D8" s="10" t="s">
        <v>6</v>
      </c>
      <c r="E8" s="8">
        <v>0</v>
      </c>
      <c r="F8" s="8">
        <v>0</v>
      </c>
      <c r="G8" s="8">
        <v>54</v>
      </c>
      <c r="H8" s="8">
        <v>0</v>
      </c>
      <c r="I8" s="8">
        <v>0</v>
      </c>
      <c r="J8" s="8">
        <v>0</v>
      </c>
      <c r="K8" s="8">
        <v>1950</v>
      </c>
      <c r="N8" s="9" t="s">
        <v>6</v>
      </c>
      <c r="O8">
        <f t="shared" si="0"/>
        <v>0</v>
      </c>
      <c r="P8">
        <f t="shared" si="1"/>
        <v>1458</v>
      </c>
      <c r="Q8">
        <f t="shared" si="2"/>
        <v>210</v>
      </c>
      <c r="R8">
        <f t="shared" si="3"/>
        <v>0</v>
      </c>
    </row>
    <row r="10" spans="1:18" x14ac:dyDescent="0.3">
      <c r="A10" s="3" t="s">
        <v>7</v>
      </c>
      <c r="B10" s="2">
        <v>17</v>
      </c>
      <c r="D10" s="4" t="s">
        <v>28</v>
      </c>
      <c r="E10" s="9" t="s">
        <v>29</v>
      </c>
      <c r="F10" s="9" t="s">
        <v>30</v>
      </c>
      <c r="G10" s="9" t="s">
        <v>34</v>
      </c>
      <c r="H10" s="9" t="s">
        <v>23</v>
      </c>
      <c r="I10" s="9" t="s">
        <v>24</v>
      </c>
      <c r="J10" s="9" t="s">
        <v>31</v>
      </c>
      <c r="K10" s="9" t="s">
        <v>26</v>
      </c>
      <c r="L10" s="6" t="s">
        <v>32</v>
      </c>
    </row>
    <row r="11" spans="1:18" x14ac:dyDescent="0.3">
      <c r="A11" s="3" t="s">
        <v>8</v>
      </c>
      <c r="B11" s="2">
        <v>27</v>
      </c>
      <c r="D11" s="10" t="s">
        <v>27</v>
      </c>
      <c r="E11" s="11"/>
      <c r="F11" s="12"/>
      <c r="G11" s="12"/>
      <c r="H11" s="12"/>
      <c r="I11" s="12"/>
      <c r="J11" s="12"/>
      <c r="K11" s="12"/>
      <c r="L11" s="13"/>
    </row>
    <row r="12" spans="1:18" x14ac:dyDescent="0.3">
      <c r="A12" s="3" t="s">
        <v>9</v>
      </c>
      <c r="B12" s="2">
        <v>27</v>
      </c>
      <c r="D12" s="10" t="s">
        <v>1</v>
      </c>
      <c r="E12" s="29">
        <f t="shared" ref="E12:E17" si="4">E3*$B$15</f>
        <v>8688</v>
      </c>
      <c r="F12" s="29">
        <f t="shared" ref="F12:F17" si="5">F3*$B$16</f>
        <v>0</v>
      </c>
      <c r="G12" s="29">
        <f t="shared" ref="G12:G17" si="6">G3*$B$10*160</f>
        <v>190400</v>
      </c>
      <c r="H12" s="29">
        <f t="shared" ref="H12:H17" si="7">H3*$B$11</f>
        <v>0</v>
      </c>
      <c r="I12" s="29">
        <f t="shared" ref="I12:I17" si="8">I3*$B$18</f>
        <v>40460</v>
      </c>
      <c r="J12" s="29">
        <f t="shared" ref="J12:J17" si="9">J3*$B$21</f>
        <v>0</v>
      </c>
      <c r="K12" s="29">
        <f t="shared" ref="K12:K17" si="10">K3*$B$17</f>
        <v>938000</v>
      </c>
      <c r="L12" s="29">
        <f t="shared" ref="L12:L17" si="11">SUM(E12:K12)</f>
        <v>1177548</v>
      </c>
    </row>
    <row r="13" spans="1:18" x14ac:dyDescent="0.3">
      <c r="A13" s="3" t="s">
        <v>10</v>
      </c>
      <c r="B13" s="2">
        <v>54</v>
      </c>
      <c r="D13" s="10" t="s">
        <v>2</v>
      </c>
      <c r="E13" s="29">
        <f t="shared" si="4"/>
        <v>1629</v>
      </c>
      <c r="F13" s="29">
        <f t="shared" si="5"/>
        <v>0</v>
      </c>
      <c r="G13" s="29">
        <f t="shared" si="6"/>
        <v>198560</v>
      </c>
      <c r="H13" s="29">
        <f t="shared" si="7"/>
        <v>0</v>
      </c>
      <c r="I13" s="29">
        <f t="shared" si="8"/>
        <v>49350</v>
      </c>
      <c r="J13" s="29">
        <f t="shared" si="9"/>
        <v>0</v>
      </c>
      <c r="K13" s="29">
        <f t="shared" si="10"/>
        <v>978200</v>
      </c>
      <c r="L13" s="29">
        <f t="shared" si="11"/>
        <v>1227739</v>
      </c>
    </row>
    <row r="14" spans="1:18" x14ac:dyDescent="0.3">
      <c r="A14" s="3" t="s">
        <v>11</v>
      </c>
      <c r="B14" s="2">
        <v>19</v>
      </c>
      <c r="D14" s="10" t="s">
        <v>3</v>
      </c>
      <c r="E14" s="29">
        <f t="shared" si="4"/>
        <v>0</v>
      </c>
      <c r="F14" s="29">
        <f t="shared" si="5"/>
        <v>0</v>
      </c>
      <c r="G14" s="29">
        <f t="shared" si="6"/>
        <v>198560</v>
      </c>
      <c r="H14" s="29">
        <f t="shared" si="7"/>
        <v>0</v>
      </c>
      <c r="I14" s="29">
        <f t="shared" si="8"/>
        <v>238</v>
      </c>
      <c r="J14" s="29">
        <f t="shared" si="9"/>
        <v>0</v>
      </c>
      <c r="K14" s="29">
        <f t="shared" si="10"/>
        <v>978200</v>
      </c>
      <c r="L14" s="29">
        <f t="shared" si="11"/>
        <v>1176998</v>
      </c>
    </row>
    <row r="15" spans="1:18" x14ac:dyDescent="0.3">
      <c r="A15" s="3" t="s">
        <v>12</v>
      </c>
      <c r="B15" s="2">
        <v>543</v>
      </c>
      <c r="D15" s="10" t="s">
        <v>4</v>
      </c>
      <c r="E15" s="29">
        <f t="shared" si="4"/>
        <v>0</v>
      </c>
      <c r="F15" s="29">
        <f t="shared" si="5"/>
        <v>0</v>
      </c>
      <c r="G15" s="29">
        <f t="shared" si="6"/>
        <v>198560</v>
      </c>
      <c r="H15" s="29">
        <f t="shared" si="7"/>
        <v>11880</v>
      </c>
      <c r="I15" s="29">
        <f t="shared" si="8"/>
        <v>0</v>
      </c>
      <c r="J15" s="29">
        <f t="shared" si="9"/>
        <v>0</v>
      </c>
      <c r="K15" s="29">
        <f t="shared" si="10"/>
        <v>1015050</v>
      </c>
      <c r="L15" s="29">
        <f t="shared" si="11"/>
        <v>1225490</v>
      </c>
    </row>
    <row r="16" spans="1:18" x14ac:dyDescent="0.3">
      <c r="A16" s="3" t="s">
        <v>13</v>
      </c>
      <c r="B16" s="2">
        <v>1010</v>
      </c>
      <c r="D16" s="10" t="s">
        <v>5</v>
      </c>
      <c r="E16" s="29">
        <f t="shared" si="4"/>
        <v>0</v>
      </c>
      <c r="F16" s="29">
        <f t="shared" si="5"/>
        <v>19190</v>
      </c>
      <c r="G16" s="29">
        <f t="shared" si="6"/>
        <v>146880</v>
      </c>
      <c r="H16" s="29">
        <f t="shared" si="7"/>
        <v>0</v>
      </c>
      <c r="I16" s="29">
        <f t="shared" si="8"/>
        <v>0</v>
      </c>
      <c r="J16" s="29">
        <f t="shared" si="9"/>
        <v>0</v>
      </c>
      <c r="K16" s="29">
        <f t="shared" si="10"/>
        <v>663300</v>
      </c>
      <c r="L16" s="29">
        <f t="shared" si="11"/>
        <v>829370</v>
      </c>
    </row>
    <row r="17" spans="1:12" x14ac:dyDescent="0.3">
      <c r="A17" s="3" t="s">
        <v>14</v>
      </c>
      <c r="B17" s="2">
        <v>335</v>
      </c>
      <c r="D17" s="10" t="s">
        <v>6</v>
      </c>
      <c r="E17" s="29">
        <f t="shared" si="4"/>
        <v>0</v>
      </c>
      <c r="F17" s="29">
        <f t="shared" si="5"/>
        <v>0</v>
      </c>
      <c r="G17" s="29">
        <f t="shared" si="6"/>
        <v>146880</v>
      </c>
      <c r="H17" s="29">
        <f t="shared" si="7"/>
        <v>0</v>
      </c>
      <c r="I17" s="29">
        <f t="shared" si="8"/>
        <v>0</v>
      </c>
      <c r="J17" s="29">
        <f t="shared" si="9"/>
        <v>0</v>
      </c>
      <c r="K17" s="29">
        <f t="shared" si="10"/>
        <v>653250</v>
      </c>
      <c r="L17" s="29">
        <f t="shared" si="11"/>
        <v>800130</v>
      </c>
    </row>
    <row r="18" spans="1:12" x14ac:dyDescent="0.3">
      <c r="A18" s="3" t="s">
        <v>15</v>
      </c>
      <c r="B18" s="2">
        <v>14</v>
      </c>
    </row>
    <row r="19" spans="1:12" x14ac:dyDescent="0.3">
      <c r="A19" s="3" t="s">
        <v>16</v>
      </c>
      <c r="B19" s="2">
        <v>1094</v>
      </c>
      <c r="K19" s="16" t="s">
        <v>170</v>
      </c>
      <c r="L19" s="17">
        <f>SUM(B3:B8)*B21</f>
        <v>13305118</v>
      </c>
    </row>
    <row r="20" spans="1:12" x14ac:dyDescent="0.3">
      <c r="A20" s="3" t="s">
        <v>17</v>
      </c>
      <c r="B20" s="2">
        <v>461</v>
      </c>
      <c r="K20" s="15" t="s">
        <v>43</v>
      </c>
      <c r="L20" s="14">
        <f>SUM(L11:L17)</f>
        <v>6437275</v>
      </c>
    </row>
    <row r="21" spans="1:12" x14ac:dyDescent="0.3">
      <c r="A21" s="3" t="s">
        <v>18</v>
      </c>
      <c r="B21" s="2">
        <v>797</v>
      </c>
      <c r="K21" s="18" t="s">
        <v>169</v>
      </c>
      <c r="L21" s="19">
        <f>L19-L20</f>
        <v>6867843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CAC7-0AA0-4EBD-856A-E3BC0C13D2C9}">
  <dimension ref="A1:R21"/>
  <sheetViews>
    <sheetView workbookViewId="0">
      <selection activeCell="D1" sqref="D1:K8"/>
    </sheetView>
  </sheetViews>
  <sheetFormatPr defaultRowHeight="14.4" x14ac:dyDescent="0.3"/>
  <cols>
    <col min="1" max="1" width="4.5546875" bestFit="1" customWidth="1"/>
    <col min="2" max="2" width="8.44140625" bestFit="1" customWidth="1"/>
    <col min="4" max="4" width="7" bestFit="1" customWidth="1"/>
    <col min="5" max="6" width="11.5546875" bestFit="1" customWidth="1"/>
    <col min="7" max="7" width="15.5546875" bestFit="1" customWidth="1"/>
    <col min="8" max="9" width="11.5546875" bestFit="1" customWidth="1"/>
    <col min="10" max="10" width="9.33203125" bestFit="1" customWidth="1"/>
    <col min="11" max="11" width="14.33203125" bestFit="1" customWidth="1"/>
    <col min="12" max="12" width="15.109375" bestFit="1" customWidth="1"/>
    <col min="14" max="14" width="11" bestFit="1" customWidth="1"/>
    <col min="15" max="15" width="9.5546875" bestFit="1" customWidth="1"/>
    <col min="16" max="16" width="9.44140625" bestFit="1" customWidth="1"/>
    <col min="17" max="17" width="10.6640625" bestFit="1" customWidth="1"/>
    <col min="18" max="18" width="10.44140625" bestFit="1" customWidth="1"/>
  </cols>
  <sheetData>
    <row r="1" spans="1:18" x14ac:dyDescent="0.3">
      <c r="D1" s="4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N1" s="4" t="s">
        <v>33</v>
      </c>
      <c r="O1" s="9" t="s">
        <v>24</v>
      </c>
      <c r="P1" s="9" t="s">
        <v>23</v>
      </c>
      <c r="Q1" s="9" t="s">
        <v>26</v>
      </c>
      <c r="R1" s="9" t="s">
        <v>22</v>
      </c>
    </row>
    <row r="2" spans="1:18" x14ac:dyDescent="0.3">
      <c r="B2" s="1" t="s">
        <v>0</v>
      </c>
      <c r="D2" s="10" t="s">
        <v>27</v>
      </c>
      <c r="E2" s="8">
        <v>0</v>
      </c>
      <c r="F2" s="8">
        <v>0</v>
      </c>
      <c r="G2" s="8">
        <v>54</v>
      </c>
      <c r="H2" s="8">
        <v>0</v>
      </c>
      <c r="I2" s="8">
        <v>1094</v>
      </c>
      <c r="J2" s="8">
        <v>0</v>
      </c>
      <c r="K2" s="8">
        <v>0</v>
      </c>
      <c r="N2" s="9" t="s">
        <v>27</v>
      </c>
    </row>
    <row r="3" spans="1:18" x14ac:dyDescent="0.3">
      <c r="A3" s="1" t="s">
        <v>1</v>
      </c>
      <c r="B3" s="2">
        <v>1434</v>
      </c>
      <c r="D3" s="10" t="s">
        <v>1</v>
      </c>
      <c r="E3" s="8">
        <v>19</v>
      </c>
      <c r="F3" s="8">
        <v>0</v>
      </c>
      <c r="G3" s="8">
        <v>73</v>
      </c>
      <c r="H3" s="8">
        <v>912</v>
      </c>
      <c r="I3" s="8">
        <v>2808</v>
      </c>
      <c r="J3" s="8">
        <v>0</v>
      </c>
      <c r="K3" s="8">
        <v>3148</v>
      </c>
      <c r="N3" s="9" t="s">
        <v>1</v>
      </c>
      <c r="O3">
        <f t="shared" ref="O3:O8" si="0">I2+K3-B3-I3</f>
        <v>0</v>
      </c>
      <c r="P3">
        <f t="shared" ref="P3:P8" si="1">G3*$B$12-H3</f>
        <v>1059</v>
      </c>
      <c r="Q3">
        <f>G3*160/4 + H3/4 - K3</f>
        <v>0</v>
      </c>
      <c r="R3">
        <f>G2+E3-F3-G3</f>
        <v>0</v>
      </c>
    </row>
    <row r="4" spans="1:18" x14ac:dyDescent="0.3">
      <c r="A4" s="1" t="s">
        <v>2</v>
      </c>
      <c r="B4" s="2">
        <v>2539</v>
      </c>
      <c r="D4" s="10" t="s">
        <v>2</v>
      </c>
      <c r="E4" s="8">
        <v>0</v>
      </c>
      <c r="F4" s="8">
        <v>0</v>
      </c>
      <c r="G4" s="8">
        <v>73</v>
      </c>
      <c r="H4" s="8">
        <v>1968</v>
      </c>
      <c r="I4" s="8">
        <v>3681</v>
      </c>
      <c r="J4" s="8">
        <v>0</v>
      </c>
      <c r="K4" s="8">
        <v>3412</v>
      </c>
      <c r="N4" s="9" t="s">
        <v>2</v>
      </c>
      <c r="O4">
        <f t="shared" si="0"/>
        <v>0</v>
      </c>
      <c r="P4">
        <f t="shared" si="1"/>
        <v>3</v>
      </c>
      <c r="Q4">
        <f t="shared" ref="Q4:Q8" si="2">G4*160/4 + H4/4 - K4</f>
        <v>0</v>
      </c>
      <c r="R4">
        <f t="shared" ref="R4:R8" si="3">G3+E4-F4-G4</f>
        <v>0</v>
      </c>
    </row>
    <row r="5" spans="1:18" x14ac:dyDescent="0.3">
      <c r="A5" s="1" t="s">
        <v>3</v>
      </c>
      <c r="B5" s="2">
        <v>7093</v>
      </c>
      <c r="D5" s="10" t="s">
        <v>3</v>
      </c>
      <c r="E5" s="8">
        <v>0</v>
      </c>
      <c r="F5" s="8">
        <v>0</v>
      </c>
      <c r="G5" s="8">
        <v>73</v>
      </c>
      <c r="H5" s="8">
        <v>1968</v>
      </c>
      <c r="I5" s="8">
        <v>0</v>
      </c>
      <c r="J5" s="8">
        <v>0</v>
      </c>
      <c r="K5" s="8">
        <v>3412</v>
      </c>
      <c r="N5" s="9" t="s">
        <v>3</v>
      </c>
      <c r="O5">
        <f t="shared" si="0"/>
        <v>0</v>
      </c>
      <c r="P5">
        <f t="shared" si="1"/>
        <v>3</v>
      </c>
      <c r="Q5">
        <f t="shared" si="2"/>
        <v>0</v>
      </c>
      <c r="R5">
        <f t="shared" si="3"/>
        <v>0</v>
      </c>
    </row>
    <row r="6" spans="1:18" x14ac:dyDescent="0.3">
      <c r="A6" s="1" t="s">
        <v>4</v>
      </c>
      <c r="B6" s="2">
        <v>3386</v>
      </c>
      <c r="D6" s="10" t="s">
        <v>4</v>
      </c>
      <c r="E6" s="8">
        <v>0</v>
      </c>
      <c r="F6" s="8">
        <v>0</v>
      </c>
      <c r="G6" s="8">
        <v>73</v>
      </c>
      <c r="H6" s="8">
        <v>1864</v>
      </c>
      <c r="I6" s="8">
        <v>0</v>
      </c>
      <c r="J6" s="8">
        <v>0</v>
      </c>
      <c r="K6" s="8">
        <v>3386</v>
      </c>
      <c r="N6" s="9" t="s">
        <v>4</v>
      </c>
      <c r="O6">
        <f t="shared" si="0"/>
        <v>0</v>
      </c>
      <c r="P6">
        <f t="shared" si="1"/>
        <v>107</v>
      </c>
      <c r="Q6">
        <f t="shared" si="2"/>
        <v>0</v>
      </c>
      <c r="R6">
        <f t="shared" si="3"/>
        <v>0</v>
      </c>
    </row>
    <row r="7" spans="1:18" x14ac:dyDescent="0.3">
      <c r="A7" s="1" t="s">
        <v>5</v>
      </c>
      <c r="B7" s="2">
        <v>1980</v>
      </c>
      <c r="D7" s="10" t="s">
        <v>5</v>
      </c>
      <c r="E7" s="8">
        <v>0</v>
      </c>
      <c r="F7" s="8">
        <v>19</v>
      </c>
      <c r="G7" s="8">
        <v>54</v>
      </c>
      <c r="H7" s="8">
        <v>0</v>
      </c>
      <c r="I7" s="8">
        <v>0</v>
      </c>
      <c r="J7" s="8">
        <v>0</v>
      </c>
      <c r="K7" s="8">
        <v>1980</v>
      </c>
      <c r="N7" s="9" t="s">
        <v>5</v>
      </c>
      <c r="O7">
        <f t="shared" si="0"/>
        <v>0</v>
      </c>
      <c r="P7">
        <f t="shared" si="1"/>
        <v>1458</v>
      </c>
      <c r="Q7">
        <f t="shared" si="2"/>
        <v>180</v>
      </c>
      <c r="R7">
        <f t="shared" si="3"/>
        <v>0</v>
      </c>
    </row>
    <row r="8" spans="1:18" x14ac:dyDescent="0.3">
      <c r="A8" s="1" t="s">
        <v>6</v>
      </c>
      <c r="B8" s="2">
        <v>1950</v>
      </c>
      <c r="D8" s="10" t="s">
        <v>6</v>
      </c>
      <c r="E8" s="8">
        <v>0</v>
      </c>
      <c r="F8" s="8">
        <v>0</v>
      </c>
      <c r="G8" s="8">
        <v>54</v>
      </c>
      <c r="H8" s="8">
        <v>0</v>
      </c>
      <c r="I8" s="8">
        <v>0</v>
      </c>
      <c r="J8" s="8">
        <v>0</v>
      </c>
      <c r="K8" s="8">
        <v>1950</v>
      </c>
      <c r="N8" s="9" t="s">
        <v>6</v>
      </c>
      <c r="O8">
        <f t="shared" si="0"/>
        <v>0</v>
      </c>
      <c r="P8">
        <f t="shared" si="1"/>
        <v>1458</v>
      </c>
      <c r="Q8">
        <f t="shared" si="2"/>
        <v>210</v>
      </c>
      <c r="R8">
        <f t="shared" si="3"/>
        <v>0</v>
      </c>
    </row>
    <row r="10" spans="1:18" x14ac:dyDescent="0.3">
      <c r="A10" s="3" t="s">
        <v>7</v>
      </c>
      <c r="B10" s="2">
        <v>17</v>
      </c>
      <c r="D10" s="4" t="s">
        <v>28</v>
      </c>
      <c r="E10" s="9" t="s">
        <v>29</v>
      </c>
      <c r="F10" s="9" t="s">
        <v>30</v>
      </c>
      <c r="G10" s="9" t="s">
        <v>34</v>
      </c>
      <c r="H10" s="9" t="s">
        <v>23</v>
      </c>
      <c r="I10" s="9" t="s">
        <v>24</v>
      </c>
      <c r="J10" s="9" t="s">
        <v>31</v>
      </c>
      <c r="K10" s="9" t="s">
        <v>26</v>
      </c>
      <c r="L10" s="6" t="s">
        <v>32</v>
      </c>
    </row>
    <row r="11" spans="1:18" x14ac:dyDescent="0.3">
      <c r="A11" s="3" t="s">
        <v>8</v>
      </c>
      <c r="B11" s="2">
        <v>27</v>
      </c>
      <c r="D11" s="10" t="s">
        <v>27</v>
      </c>
      <c r="E11" s="11"/>
      <c r="F11" s="12"/>
      <c r="G11" s="12"/>
      <c r="H11" s="12"/>
      <c r="I11" s="12"/>
      <c r="J11" s="12"/>
      <c r="K11" s="12"/>
      <c r="L11" s="13"/>
    </row>
    <row r="12" spans="1:18" x14ac:dyDescent="0.3">
      <c r="A12" s="3" t="s">
        <v>9</v>
      </c>
      <c r="B12" s="2">
        <v>27</v>
      </c>
      <c r="D12" s="10" t="s">
        <v>1</v>
      </c>
      <c r="E12" s="29">
        <f t="shared" ref="E12:E17" si="4">E3*$B$15</f>
        <v>10317</v>
      </c>
      <c r="F12" s="29">
        <f t="shared" ref="F12:F17" si="5">F3*$B$16</f>
        <v>0</v>
      </c>
      <c r="G12" s="29">
        <f t="shared" ref="G12:G17" si="6">G3*$B$10*160</f>
        <v>198560</v>
      </c>
      <c r="H12" s="29">
        <f t="shared" ref="H12:H17" si="7">H3*$B$11</f>
        <v>24624</v>
      </c>
      <c r="I12" s="29">
        <f t="shared" ref="I12:I17" si="8">I3*$B$18</f>
        <v>39312</v>
      </c>
      <c r="J12" s="29">
        <f t="shared" ref="J12:J17" si="9">J3*$B$21</f>
        <v>0</v>
      </c>
      <c r="K12" s="29">
        <f t="shared" ref="K12:K17" si="10">K3*$B$17</f>
        <v>1054580</v>
      </c>
      <c r="L12" s="29">
        <f t="shared" ref="L12:L17" si="11">SUM(E12:K12)</f>
        <v>1327393</v>
      </c>
    </row>
    <row r="13" spans="1:18" x14ac:dyDescent="0.3">
      <c r="A13" s="3" t="s">
        <v>10</v>
      </c>
      <c r="B13" s="2">
        <v>54</v>
      </c>
      <c r="D13" s="10" t="s">
        <v>2</v>
      </c>
      <c r="E13" s="29">
        <f t="shared" si="4"/>
        <v>0</v>
      </c>
      <c r="F13" s="29">
        <f t="shared" si="5"/>
        <v>0</v>
      </c>
      <c r="G13" s="29">
        <f t="shared" si="6"/>
        <v>198560</v>
      </c>
      <c r="H13" s="29">
        <f t="shared" si="7"/>
        <v>53136</v>
      </c>
      <c r="I13" s="29">
        <f t="shared" si="8"/>
        <v>51534</v>
      </c>
      <c r="J13" s="29">
        <f t="shared" si="9"/>
        <v>0</v>
      </c>
      <c r="K13" s="29">
        <f t="shared" si="10"/>
        <v>1143020</v>
      </c>
      <c r="L13" s="29">
        <f t="shared" si="11"/>
        <v>1446250</v>
      </c>
    </row>
    <row r="14" spans="1:18" x14ac:dyDescent="0.3">
      <c r="A14" s="3" t="s">
        <v>11</v>
      </c>
      <c r="B14" s="2">
        <v>19</v>
      </c>
      <c r="D14" s="10" t="s">
        <v>3</v>
      </c>
      <c r="E14" s="29">
        <f t="shared" si="4"/>
        <v>0</v>
      </c>
      <c r="F14" s="29">
        <f t="shared" si="5"/>
        <v>0</v>
      </c>
      <c r="G14" s="29">
        <f t="shared" si="6"/>
        <v>198560</v>
      </c>
      <c r="H14" s="29">
        <f t="shared" si="7"/>
        <v>53136</v>
      </c>
      <c r="I14" s="29">
        <f t="shared" si="8"/>
        <v>0</v>
      </c>
      <c r="J14" s="29">
        <f t="shared" si="9"/>
        <v>0</v>
      </c>
      <c r="K14" s="29">
        <f t="shared" si="10"/>
        <v>1143020</v>
      </c>
      <c r="L14" s="29">
        <f t="shared" si="11"/>
        <v>1394716</v>
      </c>
    </row>
    <row r="15" spans="1:18" x14ac:dyDescent="0.3">
      <c r="A15" s="3" t="s">
        <v>12</v>
      </c>
      <c r="B15" s="2">
        <v>543</v>
      </c>
      <c r="D15" s="10" t="s">
        <v>4</v>
      </c>
      <c r="E15" s="29">
        <f t="shared" si="4"/>
        <v>0</v>
      </c>
      <c r="F15" s="29">
        <f t="shared" si="5"/>
        <v>0</v>
      </c>
      <c r="G15" s="29">
        <f t="shared" si="6"/>
        <v>198560</v>
      </c>
      <c r="H15" s="29">
        <f t="shared" si="7"/>
        <v>50328</v>
      </c>
      <c r="I15" s="29">
        <f t="shared" si="8"/>
        <v>0</v>
      </c>
      <c r="J15" s="29">
        <f t="shared" si="9"/>
        <v>0</v>
      </c>
      <c r="K15" s="29">
        <f t="shared" si="10"/>
        <v>1134310</v>
      </c>
      <c r="L15" s="29">
        <f t="shared" si="11"/>
        <v>1383198</v>
      </c>
    </row>
    <row r="16" spans="1:18" x14ac:dyDescent="0.3">
      <c r="A16" s="3" t="s">
        <v>13</v>
      </c>
      <c r="B16" s="2">
        <v>1010</v>
      </c>
      <c r="D16" s="10" t="s">
        <v>5</v>
      </c>
      <c r="E16" s="29">
        <f t="shared" si="4"/>
        <v>0</v>
      </c>
      <c r="F16" s="29">
        <f t="shared" si="5"/>
        <v>19190</v>
      </c>
      <c r="G16" s="29">
        <f t="shared" si="6"/>
        <v>146880</v>
      </c>
      <c r="H16" s="29">
        <f t="shared" si="7"/>
        <v>0</v>
      </c>
      <c r="I16" s="29">
        <f t="shared" si="8"/>
        <v>0</v>
      </c>
      <c r="J16" s="29">
        <f t="shared" si="9"/>
        <v>0</v>
      </c>
      <c r="K16" s="29">
        <f t="shared" si="10"/>
        <v>663300</v>
      </c>
      <c r="L16" s="29">
        <f t="shared" si="11"/>
        <v>829370</v>
      </c>
    </row>
    <row r="17" spans="1:12" x14ac:dyDescent="0.3">
      <c r="A17" s="3" t="s">
        <v>14</v>
      </c>
      <c r="B17" s="2">
        <v>335</v>
      </c>
      <c r="D17" s="10" t="s">
        <v>6</v>
      </c>
      <c r="E17" s="29">
        <f t="shared" si="4"/>
        <v>0</v>
      </c>
      <c r="F17" s="29">
        <f t="shared" si="5"/>
        <v>0</v>
      </c>
      <c r="G17" s="29">
        <f t="shared" si="6"/>
        <v>146880</v>
      </c>
      <c r="H17" s="29">
        <f t="shared" si="7"/>
        <v>0</v>
      </c>
      <c r="I17" s="29">
        <f t="shared" si="8"/>
        <v>0</v>
      </c>
      <c r="J17" s="29">
        <f t="shared" si="9"/>
        <v>0</v>
      </c>
      <c r="K17" s="29">
        <f t="shared" si="10"/>
        <v>653250</v>
      </c>
      <c r="L17" s="29">
        <f t="shared" si="11"/>
        <v>800130</v>
      </c>
    </row>
    <row r="18" spans="1:12" x14ac:dyDescent="0.3">
      <c r="A18" s="3" t="s">
        <v>15</v>
      </c>
      <c r="B18" s="2">
        <v>14</v>
      </c>
    </row>
    <row r="19" spans="1:12" x14ac:dyDescent="0.3">
      <c r="A19" s="3" t="s">
        <v>16</v>
      </c>
      <c r="B19" s="2">
        <v>1094</v>
      </c>
      <c r="K19" s="16" t="s">
        <v>170</v>
      </c>
      <c r="L19" s="17">
        <f>SUM(B3:B8)*B21</f>
        <v>14650454</v>
      </c>
    </row>
    <row r="20" spans="1:12" x14ac:dyDescent="0.3">
      <c r="A20" s="3" t="s">
        <v>17</v>
      </c>
      <c r="B20" s="2">
        <v>461</v>
      </c>
      <c r="K20" s="15" t="s">
        <v>43</v>
      </c>
      <c r="L20" s="14">
        <f>SUM(L11:L17)</f>
        <v>7181057</v>
      </c>
    </row>
    <row r="21" spans="1:12" x14ac:dyDescent="0.3">
      <c r="A21" s="3" t="s">
        <v>18</v>
      </c>
      <c r="B21" s="2">
        <v>797</v>
      </c>
      <c r="K21" s="18" t="s">
        <v>169</v>
      </c>
      <c r="L21" s="19">
        <f>L19-L20</f>
        <v>7469397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 A&amp;B1</vt:lpstr>
      <vt:lpstr>Sensitivity Report Part B2</vt:lpstr>
      <vt:lpstr>PART B2</vt:lpstr>
      <vt:lpstr>NEW DEMAND</vt:lpstr>
      <vt:lpstr>PART C.1</vt:lpstr>
      <vt:lpstr>PART C.2</vt:lpstr>
      <vt:lpstr>PART C.3</vt:lpstr>
      <vt:lpstr>PART C.4</vt:lpstr>
      <vt:lpstr>PART C.5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Nikodem Baehr</cp:lastModifiedBy>
  <dcterms:created xsi:type="dcterms:W3CDTF">2024-05-14T10:35:31Z</dcterms:created>
  <dcterms:modified xsi:type="dcterms:W3CDTF">2024-05-21T10:18:20Z</dcterms:modified>
</cp:coreProperties>
</file>