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ko/IdeaProjects/FinanceProjects/stock-financial-report-analyzer/src/main/resources/templates/"/>
    </mc:Choice>
  </mc:AlternateContent>
  <xr:revisionPtr revIDLastSave="0" documentId="13_ncr:1_{8C78D97A-8EB9-7F4D-98C7-3D85C24A8146}" xr6:coauthVersionLast="47" xr6:coauthVersionMax="47" xr10:uidLastSave="{00000000-0000-0000-0000-000000000000}"/>
  <bookViews>
    <workbookView xWindow="51200" yWindow="500" windowWidth="51200" windowHeight="27040" activeTab="1" xr2:uid="{00000000-000D-0000-FFFF-FFFF00000000}"/>
  </bookViews>
  <sheets>
    <sheet name="INFO" sheetId="1" r:id="rId1"/>
    <sheet name="DCF" sheetId="2" r:id="rId2"/>
    <sheet name="WACC" sheetId="3" r:id="rId3"/>
    <sheet name="REVENUE_BREAKDOWN" sheetId="4" r:id="rId4"/>
    <sheet name="COMPETITORS" sheetId="5" r:id="rId5"/>
    <sheet name="EBITDA_MULTIPLE" sheetId="6" r:id="rId6"/>
    <sheet name="IS" sheetId="9" r:id="rId7"/>
    <sheet name="BS" sheetId="10" r:id="rId8"/>
    <sheet name="CF" sheetId="11" r:id="rId9"/>
    <sheet name="RESEARCH" sheetId="13" r:id="rId10"/>
    <sheet name="RATIOS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Z87" i="2"/>
  <c r="Z85" i="2"/>
  <c r="Z84" i="2"/>
  <c r="U87" i="2"/>
  <c r="U85" i="2"/>
  <c r="U84" i="2"/>
  <c r="S25" i="2"/>
  <c r="R25" i="2"/>
  <c r="Q25" i="2"/>
  <c r="S22" i="2"/>
  <c r="R22" i="2"/>
  <c r="Q22" i="2" l="1"/>
  <c r="B2" i="3"/>
  <c r="B2" i="2"/>
  <c r="D8" i="3"/>
  <c r="D16" i="3" l="1"/>
  <c r="D13" i="3" l="1"/>
  <c r="D17" i="3"/>
  <c r="D11" i="3" l="1"/>
  <c r="D10" i="3"/>
  <c r="W21" i="6" l="1"/>
  <c r="V21" i="6"/>
  <c r="U21" i="6"/>
  <c r="N14" i="6"/>
  <c r="N11" i="6"/>
  <c r="N10" i="6"/>
  <c r="N9" i="6"/>
  <c r="J14" i="6"/>
  <c r="J10" i="6"/>
  <c r="F14" i="6"/>
  <c r="F11" i="6"/>
  <c r="F10" i="6"/>
  <c r="F9" i="6"/>
  <c r="Q13" i="5"/>
  <c r="Q14" i="5"/>
  <c r="Q15" i="5"/>
  <c r="Q16" i="5"/>
  <c r="Q17" i="5"/>
  <c r="Q18" i="5"/>
  <c r="Q19" i="5"/>
  <c r="Q20" i="5"/>
  <c r="Q21" i="5"/>
  <c r="Q22" i="5"/>
  <c r="M13" i="5"/>
  <c r="M14" i="5"/>
  <c r="M15" i="5"/>
  <c r="M16" i="5"/>
  <c r="M17" i="5"/>
  <c r="M18" i="5"/>
  <c r="M19" i="5"/>
  <c r="M20" i="5"/>
  <c r="M21" i="5"/>
  <c r="M22" i="5"/>
  <c r="L13" i="5"/>
  <c r="L14" i="5"/>
  <c r="L15" i="5"/>
  <c r="L16" i="5"/>
  <c r="L17" i="5"/>
  <c r="L18" i="5"/>
  <c r="L19" i="5"/>
  <c r="L20" i="5"/>
  <c r="L21" i="5"/>
  <c r="L22" i="5"/>
  <c r="K13" i="5"/>
  <c r="K14" i="5"/>
  <c r="K15" i="5"/>
  <c r="K16" i="5"/>
  <c r="K17" i="5"/>
  <c r="K18" i="5"/>
  <c r="K19" i="5"/>
  <c r="K20" i="5"/>
  <c r="K21" i="5"/>
  <c r="K22" i="5"/>
  <c r="K23" i="5"/>
  <c r="H13" i="5"/>
  <c r="H14" i="5"/>
  <c r="H15" i="5"/>
  <c r="H16" i="5"/>
  <c r="H17" i="5"/>
  <c r="H18" i="5"/>
  <c r="H19" i="5"/>
  <c r="H20" i="5"/>
  <c r="H21" i="5"/>
  <c r="H22" i="5"/>
  <c r="H23" i="5"/>
  <c r="G13" i="5"/>
  <c r="G14" i="5"/>
  <c r="G15" i="5"/>
  <c r="G16" i="5"/>
  <c r="G17" i="5"/>
  <c r="G18" i="5"/>
  <c r="G19" i="5"/>
  <c r="G20" i="5"/>
  <c r="G21" i="5"/>
  <c r="G22" i="5"/>
  <c r="G23" i="5"/>
  <c r="E13" i="5"/>
  <c r="E14" i="5"/>
  <c r="E15" i="5"/>
  <c r="E16" i="5"/>
  <c r="E17" i="5"/>
  <c r="E18" i="5"/>
  <c r="E19" i="5"/>
  <c r="E20" i="5"/>
  <c r="E21" i="5"/>
  <c r="E22" i="5"/>
  <c r="E23" i="5"/>
  <c r="D13" i="5"/>
  <c r="D14" i="5"/>
  <c r="D15" i="5"/>
  <c r="D16" i="5"/>
  <c r="D17" i="5"/>
  <c r="D18" i="5"/>
  <c r="D19" i="5"/>
  <c r="D20" i="5"/>
  <c r="D21" i="5"/>
  <c r="D22" i="5"/>
  <c r="D23" i="5"/>
  <c r="C23" i="5"/>
  <c r="C22" i="5"/>
  <c r="B23" i="5"/>
  <c r="Q23" i="5" s="1"/>
  <c r="B2" i="6"/>
  <c r="B48" i="4"/>
  <c r="F27" i="3"/>
  <c r="B2" i="4"/>
  <c r="W31" i="2"/>
  <c r="V31" i="2"/>
  <c r="U31" i="2"/>
  <c r="W21" i="2"/>
  <c r="V21" i="2"/>
  <c r="U21" i="2"/>
  <c r="N14" i="2"/>
  <c r="N11" i="2"/>
  <c r="N10" i="2"/>
  <c r="N9" i="2"/>
  <c r="J14" i="2"/>
  <c r="J10" i="2"/>
  <c r="F14" i="2"/>
  <c r="F11" i="2"/>
  <c r="F10" i="2"/>
  <c r="F9" i="2"/>
  <c r="L23" i="5" l="1"/>
  <c r="M23" i="5"/>
  <c r="P36" i="2"/>
  <c r="G36" i="2"/>
  <c r="H36" i="2"/>
  <c r="I36" i="2"/>
  <c r="J36" i="2"/>
  <c r="K36" i="2"/>
  <c r="L36" i="2"/>
  <c r="M36" i="2"/>
  <c r="N36" i="2"/>
  <c r="O36" i="2"/>
  <c r="F36" i="2"/>
  <c r="P39" i="2"/>
  <c r="G39" i="2"/>
  <c r="H39" i="2"/>
  <c r="I39" i="2"/>
  <c r="J39" i="2"/>
  <c r="K39" i="2"/>
  <c r="L39" i="2"/>
  <c r="M39" i="2"/>
  <c r="N39" i="2"/>
  <c r="O39" i="2"/>
  <c r="F39" i="2"/>
  <c r="P32" i="2"/>
  <c r="G32" i="2"/>
  <c r="H32" i="2"/>
  <c r="I32" i="2"/>
  <c r="J32" i="2"/>
  <c r="K32" i="2"/>
  <c r="L32" i="2"/>
  <c r="M32" i="2"/>
  <c r="N32" i="2"/>
  <c r="O32" i="2"/>
  <c r="F32" i="2"/>
  <c r="P28" i="2"/>
  <c r="G28" i="2"/>
  <c r="H28" i="2"/>
  <c r="I28" i="2"/>
  <c r="J28" i="2"/>
  <c r="K28" i="2"/>
  <c r="L28" i="2"/>
  <c r="M28" i="2"/>
  <c r="N28" i="2"/>
  <c r="O28" i="2"/>
  <c r="F28" i="2"/>
  <c r="P25" i="2"/>
  <c r="G25" i="2"/>
  <c r="H25" i="2"/>
  <c r="I25" i="2"/>
  <c r="J25" i="2"/>
  <c r="K25" i="2"/>
  <c r="L25" i="2"/>
  <c r="M25" i="2"/>
  <c r="N25" i="2"/>
  <c r="O25" i="2"/>
  <c r="F25" i="2"/>
  <c r="P22" i="2"/>
  <c r="G22" i="2"/>
  <c r="H22" i="2"/>
  <c r="I22" i="2"/>
  <c r="J22" i="2"/>
  <c r="K22" i="2"/>
  <c r="L22" i="2"/>
  <c r="M22" i="2"/>
  <c r="N22" i="2"/>
  <c r="O22" i="2"/>
  <c r="F22" i="2"/>
  <c r="G21" i="2"/>
  <c r="H21" i="2"/>
  <c r="I21" i="2"/>
  <c r="J21" i="2"/>
  <c r="K21" i="2"/>
  <c r="L21" i="2"/>
  <c r="M21" i="2"/>
  <c r="N21" i="2"/>
  <c r="O21" i="2"/>
  <c r="F21" i="2"/>
  <c r="E46" i="9" l="1"/>
  <c r="F46" i="9"/>
  <c r="G46" i="9"/>
  <c r="H46" i="9"/>
  <c r="I46" i="9"/>
  <c r="J46" i="9"/>
  <c r="K46" i="9"/>
  <c r="L46" i="9"/>
  <c r="M46" i="9"/>
  <c r="D46" i="9"/>
  <c r="E43" i="9"/>
  <c r="F43" i="9"/>
  <c r="G43" i="9"/>
  <c r="H43" i="9"/>
  <c r="I43" i="9"/>
  <c r="J43" i="9"/>
  <c r="K43" i="9"/>
  <c r="L43" i="9"/>
  <c r="M43" i="9"/>
  <c r="D43" i="9"/>
  <c r="E5" i="9"/>
  <c r="F5" i="9"/>
  <c r="G5" i="9"/>
  <c r="H5" i="9"/>
  <c r="I5" i="9"/>
  <c r="J5" i="9"/>
  <c r="K5" i="9"/>
  <c r="L5" i="9"/>
  <c r="M5" i="9"/>
  <c r="D5" i="9"/>
  <c r="F70" i="2" l="1"/>
  <c r="P25" i="6"/>
  <c r="J25" i="6"/>
  <c r="H25" i="6"/>
  <c r="G25" i="6"/>
  <c r="F25" i="6"/>
  <c r="J50" i="2"/>
  <c r="H50" i="2"/>
  <c r="G50" i="2"/>
  <c r="F50" i="2"/>
  <c r="P22" i="6"/>
  <c r="J5" i="4"/>
  <c r="J22" i="4" s="1"/>
  <c r="I22" i="6"/>
  <c r="F22" i="6"/>
  <c r="F26" i="6" s="1"/>
  <c r="H21" i="6"/>
  <c r="H28" i="6" s="1"/>
  <c r="Q39" i="6"/>
  <c r="R39" i="6" s="1"/>
  <c r="S39" i="6" s="1"/>
  <c r="T39" i="6" s="1"/>
  <c r="U39" i="6" s="1"/>
  <c r="V39" i="6" s="1"/>
  <c r="W39" i="6" s="1"/>
  <c r="X39" i="6" s="1"/>
  <c r="Y39" i="6" s="1"/>
  <c r="Z39" i="6" s="1"/>
  <c r="T32" i="6" s="1"/>
  <c r="T38" i="6"/>
  <c r="T36" i="6" s="1"/>
  <c r="S38" i="6"/>
  <c r="S36" i="6" s="1"/>
  <c r="R38" i="6"/>
  <c r="R37" i="6" s="1"/>
  <c r="S37" i="6" s="1"/>
  <c r="T37" i="6" s="1"/>
  <c r="U37" i="6" s="1"/>
  <c r="V37" i="6" s="1"/>
  <c r="W37" i="6" s="1"/>
  <c r="X37" i="6" s="1"/>
  <c r="Y37" i="6" s="1"/>
  <c r="Z37" i="6" s="1"/>
  <c r="Q38" i="6"/>
  <c r="Q37" i="6"/>
  <c r="Q36" i="6"/>
  <c r="O36" i="6"/>
  <c r="H36" i="6"/>
  <c r="G36" i="6"/>
  <c r="P35" i="6"/>
  <c r="O35" i="6"/>
  <c r="M35" i="6"/>
  <c r="M36" i="6" s="1"/>
  <c r="L35" i="6"/>
  <c r="K35" i="6"/>
  <c r="I35" i="6"/>
  <c r="I36" i="6" s="1"/>
  <c r="H35" i="6"/>
  <c r="G35" i="6"/>
  <c r="Z33" i="6"/>
  <c r="Q33" i="6"/>
  <c r="R33" i="6" s="1"/>
  <c r="S33" i="6" s="1"/>
  <c r="Z32" i="6"/>
  <c r="S32" i="6"/>
  <c r="S30" i="6" s="1"/>
  <c r="R32" i="6"/>
  <c r="Q32" i="6"/>
  <c r="Z31" i="6"/>
  <c r="R31" i="6"/>
  <c r="S31" i="6" s="1"/>
  <c r="Q31" i="6"/>
  <c r="Z30" i="6"/>
  <c r="R30" i="6"/>
  <c r="Q30" i="6"/>
  <c r="Q29" i="6" s="1"/>
  <c r="I30" i="6"/>
  <c r="H30" i="6"/>
  <c r="O29" i="6"/>
  <c r="M29" i="6"/>
  <c r="K29" i="6"/>
  <c r="K30" i="6" s="1"/>
  <c r="J29" i="6"/>
  <c r="J30" i="6" s="1"/>
  <c r="I29" i="6"/>
  <c r="H29" i="6"/>
  <c r="G29" i="6"/>
  <c r="P28" i="6"/>
  <c r="H26" i="6"/>
  <c r="I25" i="6"/>
  <c r="I26" i="6" s="1"/>
  <c r="H22" i="6"/>
  <c r="I23" i="6" s="1"/>
  <c r="D19" i="6"/>
  <c r="N35" i="6"/>
  <c r="J35" i="6"/>
  <c r="F35" i="6"/>
  <c r="P11" i="6"/>
  <c r="P29" i="6" s="1"/>
  <c r="P36" i="6" s="1"/>
  <c r="N29" i="6"/>
  <c r="N30" i="6" s="1"/>
  <c r="H11" i="6"/>
  <c r="F29" i="6"/>
  <c r="G30" i="6" s="1"/>
  <c r="P9" i="6"/>
  <c r="H9" i="6"/>
  <c r="C5" i="6"/>
  <c r="G4" i="6"/>
  <c r="C4" i="6"/>
  <c r="G32" i="5"/>
  <c r="G31" i="5"/>
  <c r="G30" i="5"/>
  <c r="G29" i="5"/>
  <c r="G28" i="5"/>
  <c r="G27" i="5"/>
  <c r="G25" i="5"/>
  <c r="H32" i="5"/>
  <c r="E32" i="5"/>
  <c r="D32" i="5"/>
  <c r="C32" i="5"/>
  <c r="B32" i="5"/>
  <c r="L32" i="5" s="1"/>
  <c r="H31" i="5"/>
  <c r="E31" i="5"/>
  <c r="D31" i="5"/>
  <c r="C31" i="5"/>
  <c r="B31" i="5"/>
  <c r="L31" i="5" s="1"/>
  <c r="H30" i="5"/>
  <c r="E30" i="5"/>
  <c r="D30" i="5"/>
  <c r="C30" i="5"/>
  <c r="B30" i="5"/>
  <c r="Q30" i="5" s="1"/>
  <c r="H29" i="5"/>
  <c r="E29" i="5"/>
  <c r="D29" i="5"/>
  <c r="C29" i="5"/>
  <c r="B29" i="5"/>
  <c r="L29" i="5" s="1"/>
  <c r="H28" i="5"/>
  <c r="E28" i="5"/>
  <c r="D28" i="5"/>
  <c r="C28" i="5"/>
  <c r="B28" i="5"/>
  <c r="L28" i="5" s="1"/>
  <c r="H27" i="5"/>
  <c r="E27" i="5"/>
  <c r="D27" i="5"/>
  <c r="C27" i="5"/>
  <c r="B27" i="5"/>
  <c r="L27" i="5" s="1"/>
  <c r="H26" i="5"/>
  <c r="G26" i="5"/>
  <c r="E26" i="5"/>
  <c r="D26" i="5"/>
  <c r="C26" i="5"/>
  <c r="B26" i="5"/>
  <c r="M26" i="5" s="1"/>
  <c r="H25" i="5"/>
  <c r="E25" i="5"/>
  <c r="D25" i="5"/>
  <c r="C25" i="5"/>
  <c r="B25" i="5"/>
  <c r="H24" i="5"/>
  <c r="G24" i="5"/>
  <c r="E24" i="5"/>
  <c r="D24" i="5"/>
  <c r="C24" i="5"/>
  <c r="B24" i="5"/>
  <c r="K24" i="5" s="1"/>
  <c r="F22" i="5"/>
  <c r="F20" i="5"/>
  <c r="F19" i="5"/>
  <c r="F16" i="5"/>
  <c r="F15" i="5"/>
  <c r="P45" i="5"/>
  <c r="B41" i="5"/>
  <c r="K6" i="5"/>
  <c r="U67" i="4"/>
  <c r="J67" i="4"/>
  <c r="N63" i="4"/>
  <c r="N67" i="4" s="1"/>
  <c r="M63" i="4"/>
  <c r="M67" i="4" s="1"/>
  <c r="L63" i="4"/>
  <c r="L67" i="4" s="1"/>
  <c r="H63" i="4"/>
  <c r="H67" i="4" s="1"/>
  <c r="F63" i="4"/>
  <c r="F67" i="4" s="1"/>
  <c r="U61" i="4"/>
  <c r="O61" i="4"/>
  <c r="O63" i="4" s="1"/>
  <c r="O8" i="4" s="1"/>
  <c r="N61" i="4"/>
  <c r="M61" i="4"/>
  <c r="L61" i="4"/>
  <c r="K61" i="4"/>
  <c r="K63" i="4" s="1"/>
  <c r="K67" i="4" s="1"/>
  <c r="J61" i="4"/>
  <c r="J63" i="4" s="1"/>
  <c r="J8" i="4" s="1"/>
  <c r="I61" i="4"/>
  <c r="I63" i="4" s="1"/>
  <c r="I67" i="4" s="1"/>
  <c r="H61" i="4"/>
  <c r="G61" i="4"/>
  <c r="G63" i="4" s="1"/>
  <c r="G67" i="4" s="1"/>
  <c r="F61" i="4"/>
  <c r="B46" i="4"/>
  <c r="O45" i="4"/>
  <c r="N45" i="4"/>
  <c r="M45" i="4"/>
  <c r="L45" i="4"/>
  <c r="K45" i="4"/>
  <c r="J45" i="4"/>
  <c r="I45" i="4"/>
  <c r="H45" i="4"/>
  <c r="G45" i="4"/>
  <c r="F45" i="4"/>
  <c r="B45" i="4"/>
  <c r="B42" i="4"/>
  <c r="O41" i="4"/>
  <c r="N41" i="4"/>
  <c r="M41" i="4"/>
  <c r="L41" i="4"/>
  <c r="K41" i="4"/>
  <c r="J41" i="4"/>
  <c r="I41" i="4"/>
  <c r="H41" i="4"/>
  <c r="G41" i="4"/>
  <c r="F41" i="4"/>
  <c r="B41" i="4"/>
  <c r="B38" i="4"/>
  <c r="O37" i="4"/>
  <c r="N37" i="4"/>
  <c r="M37" i="4"/>
  <c r="L37" i="4"/>
  <c r="K37" i="4"/>
  <c r="J37" i="4"/>
  <c r="I37" i="4"/>
  <c r="H37" i="4"/>
  <c r="G37" i="4"/>
  <c r="F37" i="4"/>
  <c r="B37" i="4"/>
  <c r="B34" i="4"/>
  <c r="O33" i="4"/>
  <c r="N33" i="4"/>
  <c r="M33" i="4"/>
  <c r="L33" i="4"/>
  <c r="K33" i="4"/>
  <c r="J33" i="4"/>
  <c r="I33" i="4"/>
  <c r="H33" i="4"/>
  <c r="G33" i="4"/>
  <c r="F33" i="4"/>
  <c r="B33" i="4"/>
  <c r="B30" i="4"/>
  <c r="O29" i="4"/>
  <c r="N29" i="4"/>
  <c r="M29" i="4"/>
  <c r="L29" i="4"/>
  <c r="K29" i="4"/>
  <c r="J29" i="4"/>
  <c r="I29" i="4"/>
  <c r="H29" i="4"/>
  <c r="G29" i="4"/>
  <c r="F29" i="4"/>
  <c r="B29" i="4"/>
  <c r="B26" i="4"/>
  <c r="O25" i="4"/>
  <c r="N25" i="4"/>
  <c r="M25" i="4"/>
  <c r="L25" i="4"/>
  <c r="K25" i="4"/>
  <c r="J25" i="4"/>
  <c r="I25" i="4"/>
  <c r="H25" i="4"/>
  <c r="G25" i="4"/>
  <c r="F25" i="4"/>
  <c r="B25" i="4"/>
  <c r="O21" i="4"/>
  <c r="N21" i="4"/>
  <c r="I21" i="4"/>
  <c r="F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7" i="4"/>
  <c r="N17" i="4"/>
  <c r="L17" i="4"/>
  <c r="G17" i="4"/>
  <c r="F17" i="4"/>
  <c r="O16" i="4"/>
  <c r="N16" i="4"/>
  <c r="M16" i="4"/>
  <c r="L16" i="4"/>
  <c r="K16" i="4"/>
  <c r="J16" i="4"/>
  <c r="I16" i="4"/>
  <c r="J17" i="4" s="1"/>
  <c r="H16" i="4"/>
  <c r="G16" i="4"/>
  <c r="F16" i="4"/>
  <c r="E16" i="4"/>
  <c r="D16" i="4"/>
  <c r="C16" i="4"/>
  <c r="B16" i="4"/>
  <c r="F14" i="4"/>
  <c r="O13" i="4"/>
  <c r="I13" i="4"/>
  <c r="G13" i="4"/>
  <c r="O12" i="4"/>
  <c r="N12" i="4"/>
  <c r="M12" i="4"/>
  <c r="N13" i="4" s="1"/>
  <c r="L12" i="4"/>
  <c r="K12" i="4"/>
  <c r="B14" i="4" s="1"/>
  <c r="J12" i="4"/>
  <c r="I12" i="4"/>
  <c r="H12" i="4"/>
  <c r="H13" i="4" s="1"/>
  <c r="G12" i="4"/>
  <c r="F12" i="4"/>
  <c r="E12" i="4"/>
  <c r="F13" i="4" s="1"/>
  <c r="D12" i="4"/>
  <c r="C12" i="4"/>
  <c r="B12" i="4"/>
  <c r="J9" i="4"/>
  <c r="I9" i="4"/>
  <c r="H9" i="4"/>
  <c r="G9" i="4"/>
  <c r="M8" i="4"/>
  <c r="L8" i="4"/>
  <c r="E8" i="4"/>
  <c r="F9" i="4" s="1"/>
  <c r="D8" i="4"/>
  <c r="C8" i="4"/>
  <c r="B8" i="4"/>
  <c r="P6" i="4"/>
  <c r="P5" i="4"/>
  <c r="I5" i="4"/>
  <c r="H5" i="4"/>
  <c r="H4" i="4"/>
  <c r="H57" i="4" s="1"/>
  <c r="G4" i="4"/>
  <c r="G57" i="4" s="1"/>
  <c r="Z74" i="2"/>
  <c r="Z73" i="2"/>
  <c r="Z71" i="2" s="1"/>
  <c r="AB72" i="2"/>
  <c r="Z72" i="2"/>
  <c r="R68" i="2"/>
  <c r="S68" i="2" s="1"/>
  <c r="T68" i="2" s="1"/>
  <c r="U68" i="2" s="1"/>
  <c r="V68" i="2" s="1"/>
  <c r="W68" i="2" s="1"/>
  <c r="X68" i="2" s="1"/>
  <c r="Y68" i="2" s="1"/>
  <c r="Z68" i="2" s="1"/>
  <c r="Q68" i="2"/>
  <c r="R66" i="2"/>
  <c r="S66" i="2" s="1"/>
  <c r="T66" i="2" s="1"/>
  <c r="U66" i="2" s="1"/>
  <c r="V66" i="2" s="1"/>
  <c r="W66" i="2" s="1"/>
  <c r="X66" i="2" s="1"/>
  <c r="Y66" i="2" s="1"/>
  <c r="Z66" i="2" s="1"/>
  <c r="Q66" i="2"/>
  <c r="Z60" i="2"/>
  <c r="Y60" i="2"/>
  <c r="X60" i="2"/>
  <c r="W60" i="2"/>
  <c r="V60" i="2"/>
  <c r="U60" i="2"/>
  <c r="T60" i="2"/>
  <c r="S60" i="2"/>
  <c r="Z58" i="2"/>
  <c r="Y58" i="2"/>
  <c r="Y57" i="2" s="1"/>
  <c r="X58" i="2"/>
  <c r="W58" i="2"/>
  <c r="W57" i="2" s="1"/>
  <c r="V58" i="2"/>
  <c r="U58" i="2"/>
  <c r="T58" i="2"/>
  <c r="T57" i="2" s="1"/>
  <c r="S58" i="2"/>
  <c r="Z57" i="2"/>
  <c r="X57" i="2"/>
  <c r="V57" i="2"/>
  <c r="U57" i="2"/>
  <c r="S57" i="2"/>
  <c r="Z48" i="2"/>
  <c r="Z47" i="2"/>
  <c r="Z46" i="2"/>
  <c r="Z45" i="2"/>
  <c r="F76" i="2"/>
  <c r="J70" i="2"/>
  <c r="G70" i="2"/>
  <c r="H64" i="2"/>
  <c r="F64" i="2"/>
  <c r="J56" i="2"/>
  <c r="J57" i="2" s="1"/>
  <c r="I56" i="2"/>
  <c r="P44" i="2"/>
  <c r="I23" i="2"/>
  <c r="H44" i="2"/>
  <c r="H31" i="2"/>
  <c r="D19" i="2"/>
  <c r="L15" i="2"/>
  <c r="D18" i="2" s="1"/>
  <c r="C5" i="2"/>
  <c r="C4" i="2"/>
  <c r="K26" i="5" l="1"/>
  <c r="Q27" i="5"/>
  <c r="K30" i="5"/>
  <c r="F32" i="5"/>
  <c r="F26" i="5"/>
  <c r="I26" i="5" s="1"/>
  <c r="F27" i="5"/>
  <c r="I27" i="5" s="1"/>
  <c r="P27" i="5" s="1"/>
  <c r="F31" i="5"/>
  <c r="M32" i="5"/>
  <c r="M27" i="5"/>
  <c r="F30" i="5"/>
  <c r="I30" i="5" s="1"/>
  <c r="F24" i="5"/>
  <c r="I24" i="5" s="1"/>
  <c r="O24" i="5" s="1"/>
  <c r="Q26" i="5"/>
  <c r="Q31" i="5"/>
  <c r="F11" i="5"/>
  <c r="I11" i="5" s="1"/>
  <c r="P11" i="5" s="1"/>
  <c r="F13" i="5"/>
  <c r="I13" i="5" s="1"/>
  <c r="O13" i="5" s="1"/>
  <c r="F25" i="5"/>
  <c r="I25" i="5" s="1"/>
  <c r="Q32" i="5"/>
  <c r="F23" i="5"/>
  <c r="I23" i="5" s="1"/>
  <c r="O23" i="5" s="1"/>
  <c r="F14" i="5"/>
  <c r="I14" i="5" s="1"/>
  <c r="F29" i="5"/>
  <c r="I29" i="5" s="1"/>
  <c r="P29" i="5" s="1"/>
  <c r="I32" i="5"/>
  <c r="P32" i="5" s="1"/>
  <c r="F28" i="5"/>
  <c r="I28" i="5" s="1"/>
  <c r="P28" i="5" s="1"/>
  <c r="M31" i="5"/>
  <c r="F18" i="5"/>
  <c r="I18" i="5" s="1"/>
  <c r="O18" i="5" s="1"/>
  <c r="F21" i="5"/>
  <c r="I21" i="5" s="1"/>
  <c r="P21" i="5" s="1"/>
  <c r="O45" i="5"/>
  <c r="Q45" i="5"/>
  <c r="F17" i="5"/>
  <c r="I17" i="5" s="1"/>
  <c r="H65" i="2"/>
  <c r="I33" i="2"/>
  <c r="H34" i="2"/>
  <c r="H51" i="2"/>
  <c r="I44" i="2"/>
  <c r="I45" i="2" s="1"/>
  <c r="I37" i="2"/>
  <c r="G34" i="2"/>
  <c r="F36" i="6"/>
  <c r="Q35" i="6"/>
  <c r="I76" i="2"/>
  <c r="I40" i="2"/>
  <c r="F4" i="4"/>
  <c r="F57" i="4" s="1"/>
  <c r="F21" i="6"/>
  <c r="F28" i="6" s="1"/>
  <c r="J76" i="2"/>
  <c r="J41" i="2"/>
  <c r="F29" i="2"/>
  <c r="F56" i="2"/>
  <c r="J21" i="6"/>
  <c r="J28" i="6" s="1"/>
  <c r="J4" i="4"/>
  <c r="J57" i="4" s="1"/>
  <c r="J43" i="2"/>
  <c r="P64" i="2"/>
  <c r="P65" i="2" s="1"/>
  <c r="P34" i="2"/>
  <c r="P40" i="2"/>
  <c r="F34" i="2"/>
  <c r="J22" i="6"/>
  <c r="J23" i="6" s="1"/>
  <c r="I70" i="2"/>
  <c r="I71" i="2" s="1"/>
  <c r="F5" i="4"/>
  <c r="G21" i="6"/>
  <c r="G28" i="6" s="1"/>
  <c r="P29" i="2"/>
  <c r="I6" i="4"/>
  <c r="P26" i="6"/>
  <c r="H43" i="2"/>
  <c r="J33" i="2"/>
  <c r="H33" i="2"/>
  <c r="I20" i="5"/>
  <c r="M25" i="6"/>
  <c r="O25" i="6"/>
  <c r="M31" i="2"/>
  <c r="O30" i="6"/>
  <c r="N56" i="2"/>
  <c r="N36" i="6"/>
  <c r="F49" i="4"/>
  <c r="H40" i="2"/>
  <c r="H76" i="2"/>
  <c r="H77" i="2" s="1"/>
  <c r="H29" i="2"/>
  <c r="H56" i="2"/>
  <c r="H57" i="2" s="1"/>
  <c r="G76" i="2"/>
  <c r="K5" i="4"/>
  <c r="K6" i="4" s="1"/>
  <c r="K22" i="6"/>
  <c r="J26" i="2"/>
  <c r="M17" i="4"/>
  <c r="O67" i="4"/>
  <c r="M21" i="6"/>
  <c r="M28" i="6" s="1"/>
  <c r="M4" i="4"/>
  <c r="M57" i="4" s="1"/>
  <c r="P56" i="2"/>
  <c r="Q25" i="5"/>
  <c r="M25" i="5"/>
  <c r="L25" i="5"/>
  <c r="K25" i="5"/>
  <c r="G5" i="4"/>
  <c r="G6" i="4" s="1"/>
  <c r="G22" i="6"/>
  <c r="G33" i="2"/>
  <c r="G43" i="2"/>
  <c r="G31" i="2"/>
  <c r="I34" i="2"/>
  <c r="I64" i="2"/>
  <c r="M43" i="2"/>
  <c r="L21" i="4"/>
  <c r="I15" i="5"/>
  <c r="O15" i="5" s="1"/>
  <c r="Q28" i="5"/>
  <c r="K28" i="5"/>
  <c r="M28" i="5"/>
  <c r="I31" i="5"/>
  <c r="F57" i="2"/>
  <c r="G56" i="2"/>
  <c r="G57" i="2" s="1"/>
  <c r="G29" i="2"/>
  <c r="U32" i="6"/>
  <c r="T30" i="6"/>
  <c r="K36" i="6"/>
  <c r="D18" i="3"/>
  <c r="D15" i="3" s="1"/>
  <c r="N9" i="3"/>
  <c r="M21" i="4"/>
  <c r="P43" i="5"/>
  <c r="O43" i="5"/>
  <c r="I19" i="5"/>
  <c r="P19" i="5" s="1"/>
  <c r="Q43" i="5"/>
  <c r="J64" i="2"/>
  <c r="J34" i="2"/>
  <c r="B13" i="4"/>
  <c r="Q29" i="5"/>
  <c r="M29" i="5"/>
  <c r="K29" i="5"/>
  <c r="J6" i="4"/>
  <c r="K8" i="4"/>
  <c r="J14" i="4"/>
  <c r="B17" i="4"/>
  <c r="B18" i="4"/>
  <c r="L30" i="5"/>
  <c r="T31" i="6"/>
  <c r="U31" i="6" s="1"/>
  <c r="V31" i="6" s="1"/>
  <c r="W31" i="6" s="1"/>
  <c r="X31" i="6" s="1"/>
  <c r="Y31" i="6" s="1"/>
  <c r="I29" i="2"/>
  <c r="I50" i="2"/>
  <c r="I26" i="2"/>
  <c r="J29" i="2"/>
  <c r="J31" i="2"/>
  <c r="P70" i="2"/>
  <c r="P71" i="2" s="1"/>
  <c r="P37" i="2"/>
  <c r="M9" i="4"/>
  <c r="K13" i="4"/>
  <c r="J18" i="4"/>
  <c r="B21" i="4"/>
  <c r="B22" i="4"/>
  <c r="M30" i="5"/>
  <c r="L13" i="4"/>
  <c r="L24" i="5"/>
  <c r="M24" i="5"/>
  <c r="R29" i="6"/>
  <c r="S29" i="6" s="1"/>
  <c r="H26" i="2"/>
  <c r="H70" i="2"/>
  <c r="H71" i="2" s="1"/>
  <c r="H37" i="2"/>
  <c r="N8" i="4"/>
  <c r="B10" i="4" s="1"/>
  <c r="J13" i="4"/>
  <c r="K17" i="4"/>
  <c r="H17" i="4"/>
  <c r="J21" i="4"/>
  <c r="G21" i="4"/>
  <c r="T33" i="6"/>
  <c r="U33" i="6" s="1"/>
  <c r="V33" i="6" s="1"/>
  <c r="W33" i="6" s="1"/>
  <c r="X33" i="6" s="1"/>
  <c r="Y33" i="6" s="1"/>
  <c r="U38" i="6"/>
  <c r="I21" i="6"/>
  <c r="I28" i="6" s="1"/>
  <c r="I4" i="4"/>
  <c r="I57" i="4" s="1"/>
  <c r="I16" i="5"/>
  <c r="O16" i="5" s="1"/>
  <c r="G64" i="2"/>
  <c r="I41" i="2"/>
  <c r="P76" i="2"/>
  <c r="P77" i="2" s="1"/>
  <c r="J10" i="4"/>
  <c r="M13" i="4"/>
  <c r="I17" i="4"/>
  <c r="K21" i="4"/>
  <c r="H21" i="4"/>
  <c r="Q24" i="5"/>
  <c r="J36" i="6"/>
  <c r="I22" i="5"/>
  <c r="K27" i="5"/>
  <c r="O27" i="5" s="1"/>
  <c r="K32" i="5"/>
  <c r="R36" i="6"/>
  <c r="P33" i="2"/>
  <c r="L26" i="5"/>
  <c r="K31" i="5"/>
  <c r="O25" i="5" l="1"/>
  <c r="Q38" i="5"/>
  <c r="Q35" i="5"/>
  <c r="O38" i="5"/>
  <c r="O35" i="5"/>
  <c r="P24" i="5"/>
  <c r="P23" i="5"/>
  <c r="O32" i="5"/>
  <c r="P30" i="5"/>
  <c r="P13" i="5"/>
  <c r="O14" i="5"/>
  <c r="O20" i="5"/>
  <c r="P20" i="5"/>
  <c r="I65" i="2"/>
  <c r="H6" i="4"/>
  <c r="I77" i="2"/>
  <c r="J23" i="2"/>
  <c r="J26" i="6"/>
  <c r="G41" i="2"/>
  <c r="J40" i="2"/>
  <c r="J44" i="2"/>
  <c r="J71" i="2" s="1"/>
  <c r="P17" i="5"/>
  <c r="J37" i="2"/>
  <c r="K23" i="6"/>
  <c r="O21" i="5"/>
  <c r="P26" i="2"/>
  <c r="P15" i="5"/>
  <c r="P50" i="2"/>
  <c r="P51" i="2" s="1"/>
  <c r="L22" i="6"/>
  <c r="L5" i="4"/>
  <c r="H41" i="2"/>
  <c r="G23" i="2"/>
  <c r="F43" i="2"/>
  <c r="F31" i="2"/>
  <c r="J65" i="2"/>
  <c r="O17" i="5"/>
  <c r="G5" i="6"/>
  <c r="R35" i="6"/>
  <c r="P14" i="5"/>
  <c r="K14" i="4"/>
  <c r="O19" i="5"/>
  <c r="L25" i="6"/>
  <c r="L29" i="2"/>
  <c r="L4" i="4"/>
  <c r="L57" i="4" s="1"/>
  <c r="L21" i="6"/>
  <c r="L28" i="6" s="1"/>
  <c r="K18" i="4"/>
  <c r="L23" i="6"/>
  <c r="O44" i="2"/>
  <c r="O22" i="6"/>
  <c r="O26" i="6" s="1"/>
  <c r="O5" i="4"/>
  <c r="O4" i="4"/>
  <c r="O57" i="4" s="1"/>
  <c r="O21" i="6"/>
  <c r="K22" i="4"/>
  <c r="K37" i="2"/>
  <c r="Q36" i="2"/>
  <c r="K70" i="2"/>
  <c r="K76" i="2"/>
  <c r="K40" i="2"/>
  <c r="K41" i="2"/>
  <c r="K21" i="6"/>
  <c r="K28" i="6" s="1"/>
  <c r="K4" i="4"/>
  <c r="K57" i="4" s="1"/>
  <c r="N22" i="6"/>
  <c r="N5" i="4"/>
  <c r="N40" i="2"/>
  <c r="U36" i="6"/>
  <c r="V38" i="6"/>
  <c r="P31" i="5"/>
  <c r="O31" i="5"/>
  <c r="O28" i="5"/>
  <c r="L40" i="2"/>
  <c r="L41" i="2"/>
  <c r="L76" i="2"/>
  <c r="N76" i="2"/>
  <c r="M5" i="4"/>
  <c r="M37" i="2"/>
  <c r="M22" i="6"/>
  <c r="N25" i="6"/>
  <c r="P26" i="5"/>
  <c r="O26" i="5"/>
  <c r="P16" i="5"/>
  <c r="B9" i="4"/>
  <c r="O30" i="5"/>
  <c r="P25" i="5"/>
  <c r="G40" i="2"/>
  <c r="O64" i="2"/>
  <c r="O33" i="2"/>
  <c r="O34" i="2"/>
  <c r="L70" i="2"/>
  <c r="L37" i="2"/>
  <c r="R36" i="2"/>
  <c r="S36" i="2" s="1"/>
  <c r="N21" i="6"/>
  <c r="N28" i="6" s="1"/>
  <c r="N4" i="4"/>
  <c r="N57" i="4" s="1"/>
  <c r="L56" i="2"/>
  <c r="P22" i="5"/>
  <c r="O22" i="5"/>
  <c r="L34" i="2"/>
  <c r="L33" i="2"/>
  <c r="L64" i="2"/>
  <c r="M64" i="2"/>
  <c r="M34" i="2"/>
  <c r="O70" i="2"/>
  <c r="M50" i="2"/>
  <c r="O36" i="5"/>
  <c r="O39" i="5"/>
  <c r="O34" i="5"/>
  <c r="O37" i="5"/>
  <c r="O42" i="5" s="1"/>
  <c r="O44" i="5" s="1"/>
  <c r="O46" i="5" s="1"/>
  <c r="N9" i="4"/>
  <c r="O29" i="5"/>
  <c r="F37" i="2"/>
  <c r="F33" i="2"/>
  <c r="F40" i="2"/>
  <c r="F44" i="2"/>
  <c r="F26" i="2"/>
  <c r="N64" i="2"/>
  <c r="N34" i="2"/>
  <c r="D20" i="3"/>
  <c r="D9" i="3" s="1"/>
  <c r="S35" i="6"/>
  <c r="T29" i="6"/>
  <c r="U30" i="6"/>
  <c r="V32" i="6"/>
  <c r="L6" i="4"/>
  <c r="L10" i="4"/>
  <c r="O76" i="2"/>
  <c r="O50" i="2"/>
  <c r="K56" i="2"/>
  <c r="Q34" i="5"/>
  <c r="Q39" i="5"/>
  <c r="Q37" i="5"/>
  <c r="Q44" i="5" s="1"/>
  <c r="Q46" i="5" s="1"/>
  <c r="Q36" i="5"/>
  <c r="I43" i="2"/>
  <c r="I31" i="2"/>
  <c r="O9" i="4"/>
  <c r="N10" i="4"/>
  <c r="I51" i="2"/>
  <c r="I57" i="2"/>
  <c r="L23" i="2"/>
  <c r="L44" i="2"/>
  <c r="K23" i="2"/>
  <c r="K44" i="2"/>
  <c r="M76" i="2"/>
  <c r="K64" i="2"/>
  <c r="K34" i="2"/>
  <c r="K33" i="2"/>
  <c r="Q32" i="2"/>
  <c r="R32" i="2" s="1"/>
  <c r="M70" i="2"/>
  <c r="K25" i="6"/>
  <c r="K26" i="6" s="1"/>
  <c r="K29" i="2"/>
  <c r="M56" i="2"/>
  <c r="M29" i="2"/>
  <c r="O11" i="5"/>
  <c r="G44" i="2"/>
  <c r="G65" i="2" s="1"/>
  <c r="H23" i="2"/>
  <c r="G37" i="2"/>
  <c r="G26" i="2"/>
  <c r="N70" i="2"/>
  <c r="O56" i="2"/>
  <c r="O29" i="2"/>
  <c r="P18" i="5"/>
  <c r="L9" i="4"/>
  <c r="K9" i="4"/>
  <c r="K10" i="4"/>
  <c r="G23" i="6"/>
  <c r="H23" i="6"/>
  <c r="G26" i="6"/>
  <c r="Q25" i="6" s="1"/>
  <c r="P38" i="5" l="1"/>
  <c r="P35" i="5"/>
  <c r="P34" i="5"/>
  <c r="P37" i="5"/>
  <c r="P42" i="5" s="1"/>
  <c r="P44" i="5" s="1"/>
  <c r="P46" i="5" s="1"/>
  <c r="P36" i="5"/>
  <c r="P39" i="5"/>
  <c r="Q42" i="5"/>
  <c r="S32" i="2"/>
  <c r="K45" i="2"/>
  <c r="J45" i="2"/>
  <c r="J51" i="2"/>
  <c r="M33" i="2"/>
  <c r="J77" i="2"/>
  <c r="Q77" i="2" s="1"/>
  <c r="V77" i="2" s="1"/>
  <c r="L26" i="6"/>
  <c r="P57" i="2"/>
  <c r="O40" i="2"/>
  <c r="O26" i="2"/>
  <c r="O41" i="2"/>
  <c r="O65" i="2"/>
  <c r="L18" i="4"/>
  <c r="L22" i="4"/>
  <c r="O77" i="2"/>
  <c r="O37" i="2"/>
  <c r="M41" i="2"/>
  <c r="L14" i="4"/>
  <c r="M26" i="2"/>
  <c r="M40" i="2"/>
  <c r="K5" i="6"/>
  <c r="L5" i="6"/>
  <c r="O28" i="6"/>
  <c r="Q21" i="6"/>
  <c r="N37" i="2"/>
  <c r="M57" i="2"/>
  <c r="Q59" i="2" s="1"/>
  <c r="Q60" i="2" s="1"/>
  <c r="O51" i="2"/>
  <c r="L71" i="2"/>
  <c r="N41" i="2"/>
  <c r="O14" i="4"/>
  <c r="O10" i="4"/>
  <c r="O18" i="4"/>
  <c r="O22" i="4"/>
  <c r="L43" i="2"/>
  <c r="L31" i="2"/>
  <c r="L77" i="2"/>
  <c r="R77" i="2" s="1"/>
  <c r="W77" i="2" s="1"/>
  <c r="L50" i="2"/>
  <c r="L57" i="2" s="1"/>
  <c r="L26" i="2"/>
  <c r="N33" i="2"/>
  <c r="O57" i="2"/>
  <c r="O71" i="2"/>
  <c r="O31" i="2"/>
  <c r="O43" i="2"/>
  <c r="Q21" i="2"/>
  <c r="D14" i="3"/>
  <c r="K43" i="2"/>
  <c r="K31" i="2"/>
  <c r="N23" i="6"/>
  <c r="O23" i="6"/>
  <c r="N29" i="2"/>
  <c r="N50" i="2"/>
  <c r="N26" i="2"/>
  <c r="W38" i="6"/>
  <c r="V36" i="6"/>
  <c r="K50" i="2"/>
  <c r="K51" i="2" s="1"/>
  <c r="K26" i="2"/>
  <c r="W32" i="6"/>
  <c r="V30" i="6"/>
  <c r="M23" i="6"/>
  <c r="M26" i="6"/>
  <c r="R25" i="6"/>
  <c r="L11" i="6"/>
  <c r="L29" i="6" s="1"/>
  <c r="Q22" i="6"/>
  <c r="Q26" i="6" s="1"/>
  <c r="Q58" i="2"/>
  <c r="Q57" i="2" s="1"/>
  <c r="K65" i="2"/>
  <c r="Q67" i="2" s="1"/>
  <c r="L45" i="2"/>
  <c r="N43" i="2"/>
  <c r="N31" i="2"/>
  <c r="G71" i="2"/>
  <c r="G45" i="2"/>
  <c r="H45" i="2"/>
  <c r="G51" i="2"/>
  <c r="U29" i="6"/>
  <c r="T35" i="6"/>
  <c r="F71" i="2"/>
  <c r="F65" i="2"/>
  <c r="F51" i="2"/>
  <c r="F77" i="2"/>
  <c r="M44" i="2"/>
  <c r="M45" i="2" s="1"/>
  <c r="M23" i="2"/>
  <c r="N44" i="2"/>
  <c r="N65" i="2" s="1"/>
  <c r="N23" i="2"/>
  <c r="O23" i="2"/>
  <c r="K77" i="2"/>
  <c r="L65" i="2"/>
  <c r="N26" i="6"/>
  <c r="L11" i="2"/>
  <c r="Q26" i="2"/>
  <c r="Q53" i="2" s="1"/>
  <c r="G77" i="2"/>
  <c r="M6" i="4"/>
  <c r="M22" i="4"/>
  <c r="M18" i="4"/>
  <c r="M14" i="4"/>
  <c r="M10" i="4"/>
  <c r="N18" i="4"/>
  <c r="N14" i="4"/>
  <c r="O6" i="4"/>
  <c r="N6" i="4"/>
  <c r="N22" i="4"/>
  <c r="K71" i="2"/>
  <c r="L51" i="2" l="1"/>
  <c r="Q31" i="2"/>
  <c r="R21" i="2"/>
  <c r="Q43" i="2"/>
  <c r="R21" i="6"/>
  <c r="Q28" i="6"/>
  <c r="K57" i="2"/>
  <c r="L17" i="3" s="1"/>
  <c r="N17" i="3" s="1"/>
  <c r="M65" i="2"/>
  <c r="R59" i="2"/>
  <c r="Q37" i="2"/>
  <c r="Q73" i="2" s="1"/>
  <c r="Q72" i="2" s="1"/>
  <c r="R72" i="2" s="1"/>
  <c r="S72" i="2" s="1"/>
  <c r="M71" i="2"/>
  <c r="H11" i="2"/>
  <c r="Q52" i="2" s="1"/>
  <c r="Q51" i="2"/>
  <c r="P11" i="2"/>
  <c r="Q54" i="2" s="1"/>
  <c r="R22" i="6"/>
  <c r="R26" i="6" s="1"/>
  <c r="Q23" i="6"/>
  <c r="W30" i="6"/>
  <c r="X32" i="6"/>
  <c r="N45" i="2"/>
  <c r="O45" i="2"/>
  <c r="M30" i="6"/>
  <c r="L30" i="6"/>
  <c r="L36" i="6"/>
  <c r="Q33" i="2"/>
  <c r="R67" i="2"/>
  <c r="Q65" i="2"/>
  <c r="S25" i="6"/>
  <c r="N71" i="2"/>
  <c r="W36" i="6"/>
  <c r="X38" i="6"/>
  <c r="V29" i="6"/>
  <c r="V35" i="6" s="1"/>
  <c r="Q23" i="2"/>
  <c r="Q47" i="2" s="1"/>
  <c r="S59" i="2"/>
  <c r="T59" i="2" s="1"/>
  <c r="U59" i="2" s="1"/>
  <c r="V59" i="2" s="1"/>
  <c r="W59" i="2" s="1"/>
  <c r="X59" i="2" s="1"/>
  <c r="Y59" i="2" s="1"/>
  <c r="Z59" i="2" s="1"/>
  <c r="R58" i="2"/>
  <c r="R57" i="2" s="1"/>
  <c r="R60" i="2"/>
  <c r="M77" i="2"/>
  <c r="S77" i="2" s="1"/>
  <c r="M51" i="2"/>
  <c r="U35" i="6"/>
  <c r="N51" i="2"/>
  <c r="N57" i="2"/>
  <c r="N77" i="2"/>
  <c r="R73" i="2" l="1"/>
  <c r="Q74" i="2"/>
  <c r="R74" i="2" s="1"/>
  <c r="S74" i="2" s="1"/>
  <c r="Q71" i="2"/>
  <c r="D22" i="3"/>
  <c r="L15" i="6" s="1"/>
  <c r="D18" i="6" s="1"/>
  <c r="R28" i="6"/>
  <c r="S21" i="6"/>
  <c r="S28" i="6" s="1"/>
  <c r="T28" i="6" s="1"/>
  <c r="U28" i="6" s="1"/>
  <c r="V28" i="6" s="1"/>
  <c r="W28" i="6" s="1"/>
  <c r="X28" i="6" s="1"/>
  <c r="Y28" i="6" s="1"/>
  <c r="Z28" i="6" s="1"/>
  <c r="R31" i="2"/>
  <c r="S21" i="2"/>
  <c r="R43" i="2"/>
  <c r="X30" i="6"/>
  <c r="Y32" i="6"/>
  <c r="Y30" i="6" s="1"/>
  <c r="R23" i="2"/>
  <c r="R47" i="2" s="1"/>
  <c r="R45" i="2" s="1"/>
  <c r="R37" i="2"/>
  <c r="R33" i="2"/>
  <c r="R26" i="2"/>
  <c r="R53" i="2" s="1"/>
  <c r="R51" i="2" s="1"/>
  <c r="X77" i="2"/>
  <c r="S22" i="6"/>
  <c r="S23" i="6" s="1"/>
  <c r="R23" i="6"/>
  <c r="Q45" i="2"/>
  <c r="Q44" i="2" s="1"/>
  <c r="P9" i="2"/>
  <c r="Q48" i="2" s="1"/>
  <c r="R48" i="2" s="1"/>
  <c r="H9" i="2"/>
  <c r="Q46" i="2" s="1"/>
  <c r="R46" i="2" s="1"/>
  <c r="R65" i="2"/>
  <c r="S67" i="2"/>
  <c r="W29" i="6"/>
  <c r="W35" i="6" s="1"/>
  <c r="T77" i="2"/>
  <c r="U77" i="2"/>
  <c r="Y38" i="6"/>
  <c r="X36" i="6"/>
  <c r="R71" i="2"/>
  <c r="S73" i="2"/>
  <c r="S43" i="2" l="1"/>
  <c r="T43" i="2" s="1"/>
  <c r="U43" i="2" s="1"/>
  <c r="V43" i="2" s="1"/>
  <c r="W43" i="2" s="1"/>
  <c r="X43" i="2" s="1"/>
  <c r="Y43" i="2" s="1"/>
  <c r="Z43" i="2" s="1"/>
  <c r="S31" i="2"/>
  <c r="X29" i="6"/>
  <c r="Y29" i="6" s="1"/>
  <c r="Z29" i="6" s="1"/>
  <c r="Z38" i="6"/>
  <c r="Z36" i="6" s="1"/>
  <c r="Y36" i="6"/>
  <c r="Z77" i="2"/>
  <c r="R52" i="2"/>
  <c r="S52" i="2" s="1"/>
  <c r="T52" i="2" s="1"/>
  <c r="U52" i="2" s="1"/>
  <c r="V52" i="2" s="1"/>
  <c r="W52" i="2" s="1"/>
  <c r="X52" i="2" s="1"/>
  <c r="Y52" i="2" s="1"/>
  <c r="Z52" i="2" s="1"/>
  <c r="Y77" i="2"/>
  <c r="R54" i="2"/>
  <c r="R44" i="2"/>
  <c r="Q64" i="2"/>
  <c r="Q70" i="2"/>
  <c r="Q76" i="2"/>
  <c r="Q50" i="2"/>
  <c r="S23" i="2"/>
  <c r="S47" i="2" s="1"/>
  <c r="S48" i="2" s="1"/>
  <c r="T48" i="2" s="1"/>
  <c r="U48" i="2" s="1"/>
  <c r="V48" i="2" s="1"/>
  <c r="W48" i="2" s="1"/>
  <c r="X48" i="2" s="1"/>
  <c r="Y48" i="2" s="1"/>
  <c r="S37" i="2"/>
  <c r="S33" i="2"/>
  <c r="S71" i="2"/>
  <c r="T73" i="2"/>
  <c r="S26" i="6"/>
  <c r="S26" i="2"/>
  <c r="S53" i="2" s="1"/>
  <c r="S65" i="2"/>
  <c r="T67" i="2"/>
  <c r="X35" i="6" l="1"/>
  <c r="Y35" i="6"/>
  <c r="Z35" i="6"/>
  <c r="S46" i="2"/>
  <c r="T46" i="2" s="1"/>
  <c r="U46" i="2" s="1"/>
  <c r="V46" i="2" s="1"/>
  <c r="W46" i="2" s="1"/>
  <c r="X46" i="2" s="1"/>
  <c r="Y46" i="2" s="1"/>
  <c r="T72" i="2"/>
  <c r="U72" i="2" s="1"/>
  <c r="V72" i="2" s="1"/>
  <c r="W72" i="2" s="1"/>
  <c r="X72" i="2" s="1"/>
  <c r="Y72" i="2" s="1"/>
  <c r="T74" i="2"/>
  <c r="U74" i="2" s="1"/>
  <c r="V74" i="2" s="1"/>
  <c r="W74" i="2" s="1"/>
  <c r="X74" i="2" s="1"/>
  <c r="Y74" i="2" s="1"/>
  <c r="Q56" i="2"/>
  <c r="Q62" i="2" s="1"/>
  <c r="Q79" i="2" s="1"/>
  <c r="Q80" i="2" s="1"/>
  <c r="T53" i="2"/>
  <c r="S51" i="2"/>
  <c r="U73" i="2"/>
  <c r="T71" i="2"/>
  <c r="R70" i="2"/>
  <c r="R64" i="2"/>
  <c r="R76" i="2"/>
  <c r="S54" i="2"/>
  <c r="T54" i="2" s="1"/>
  <c r="U54" i="2" s="1"/>
  <c r="V54" i="2" s="1"/>
  <c r="W54" i="2" s="1"/>
  <c r="X54" i="2" s="1"/>
  <c r="Y54" i="2" s="1"/>
  <c r="Z54" i="2" s="1"/>
  <c r="R50" i="2"/>
  <c r="T65" i="2"/>
  <c r="U67" i="2"/>
  <c r="T47" i="2"/>
  <c r="S45" i="2"/>
  <c r="S44" i="2" s="1"/>
  <c r="S64" i="2" l="1"/>
  <c r="S70" i="2"/>
  <c r="S76" i="2"/>
  <c r="Z83" i="2"/>
  <c r="Z86" i="2" s="1"/>
  <c r="Z88" i="2" s="1"/>
  <c r="G4" i="2" s="1"/>
  <c r="L5" i="2" s="1"/>
  <c r="U83" i="2"/>
  <c r="U86" i="2" s="1"/>
  <c r="U88" i="2" s="1"/>
  <c r="K5" i="2" s="1"/>
  <c r="U65" i="2"/>
  <c r="V67" i="2"/>
  <c r="U71" i="2"/>
  <c r="V73" i="2"/>
  <c r="R56" i="2"/>
  <c r="R62" i="2" s="1"/>
  <c r="R79" i="2" s="1"/>
  <c r="R80" i="2" s="1"/>
  <c r="S50" i="2"/>
  <c r="T51" i="2"/>
  <c r="U53" i="2"/>
  <c r="T45" i="2"/>
  <c r="T44" i="2" s="1"/>
  <c r="U47" i="2"/>
  <c r="T70" i="2" l="1"/>
  <c r="T64" i="2"/>
  <c r="T76" i="2"/>
  <c r="W67" i="2"/>
  <c r="V65" i="2"/>
  <c r="U51" i="2"/>
  <c r="V53" i="2"/>
  <c r="T50" i="2"/>
  <c r="S56" i="2"/>
  <c r="S62" i="2" s="1"/>
  <c r="S79" i="2" s="1"/>
  <c r="S80" i="2" s="1"/>
  <c r="V71" i="2"/>
  <c r="W73" i="2"/>
  <c r="U45" i="2"/>
  <c r="U44" i="2" s="1"/>
  <c r="V47" i="2"/>
  <c r="U64" i="2" l="1"/>
  <c r="U70" i="2"/>
  <c r="U76" i="2"/>
  <c r="V51" i="2"/>
  <c r="W53" i="2"/>
  <c r="V45" i="2"/>
  <c r="V44" i="2" s="1"/>
  <c r="W47" i="2"/>
  <c r="U50" i="2"/>
  <c r="X73" i="2"/>
  <c r="W71" i="2"/>
  <c r="W65" i="2"/>
  <c r="X67" i="2"/>
  <c r="T56" i="2"/>
  <c r="T62" i="2" s="1"/>
  <c r="T79" i="2" s="1"/>
  <c r="T80" i="2" s="1"/>
  <c r="V64" i="2" l="1"/>
  <c r="V70" i="2"/>
  <c r="V76" i="2"/>
  <c r="V50" i="2"/>
  <c r="W45" i="2"/>
  <c r="W44" i="2" s="1"/>
  <c r="X47" i="2"/>
  <c r="W51" i="2"/>
  <c r="X53" i="2"/>
  <c r="Y67" i="2"/>
  <c r="X65" i="2"/>
  <c r="X71" i="2"/>
  <c r="Y73" i="2"/>
  <c r="Y71" i="2" s="1"/>
  <c r="U56" i="2"/>
  <c r="U62" i="2" s="1"/>
  <c r="U79" i="2" s="1"/>
  <c r="U80" i="2" l="1"/>
  <c r="U81" i="2"/>
  <c r="U82" i="2" s="1"/>
  <c r="W70" i="2"/>
  <c r="W64" i="2"/>
  <c r="W76" i="2"/>
  <c r="Y47" i="2"/>
  <c r="Y45" i="2" s="1"/>
  <c r="X45" i="2"/>
  <c r="X44" i="2" s="1"/>
  <c r="V56" i="2"/>
  <c r="V62" i="2" s="1"/>
  <c r="V79" i="2" s="1"/>
  <c r="V80" i="2" s="1"/>
  <c r="Y65" i="2"/>
  <c r="Z67" i="2"/>
  <c r="Z65" i="2" s="1"/>
  <c r="Y53" i="2"/>
  <c r="X51" i="2"/>
  <c r="W50" i="2"/>
  <c r="X70" i="2" l="1"/>
  <c r="X64" i="2"/>
  <c r="Y44" i="2"/>
  <c r="X76" i="2"/>
  <c r="W56" i="2"/>
  <c r="W62" i="2" s="1"/>
  <c r="W79" i="2" s="1"/>
  <c r="W80" i="2" s="1"/>
  <c r="X50" i="2"/>
  <c r="Y51" i="2"/>
  <c r="Z53" i="2"/>
  <c r="Z51" i="2" s="1"/>
  <c r="Y50" i="2" l="1"/>
  <c r="Y56" i="2" s="1"/>
  <c r="Y62" i="2" s="1"/>
  <c r="X56" i="2"/>
  <c r="X62" i="2" s="1"/>
  <c r="X79" i="2" s="1"/>
  <c r="X80" i="2" s="1"/>
  <c r="Z44" i="2"/>
  <c r="Y70" i="2"/>
  <c r="Y64" i="2"/>
  <c r="Y76" i="2"/>
  <c r="Y79" i="2" l="1"/>
  <c r="Y80" i="2" s="1"/>
  <c r="Z70" i="2"/>
  <c r="Z64" i="2"/>
  <c r="Z76" i="2"/>
  <c r="Z50" i="2"/>
  <c r="Z56" i="2" l="1"/>
  <c r="Z62" i="2" s="1"/>
  <c r="Z79" i="2" s="1"/>
  <c r="Z80" i="2" l="1"/>
  <c r="Z81" i="2"/>
  <c r="Z82" i="2" s="1"/>
</calcChain>
</file>

<file path=xl/sharedStrings.xml><?xml version="1.0" encoding="utf-8"?>
<sst xmlns="http://schemas.openxmlformats.org/spreadsheetml/2006/main" count="737" uniqueCount="479">
  <si>
    <t>Ticker</t>
  </si>
  <si>
    <t>Quick Analysis</t>
  </si>
  <si>
    <t>Requirement</t>
  </si>
  <si>
    <t>Reality</t>
  </si>
  <si>
    <t>Market Data</t>
  </si>
  <si>
    <t>KOYFIN</t>
  </si>
  <si>
    <t>Past 10Y ROI</t>
  </si>
  <si>
    <t>Overview Analysis</t>
  </si>
  <si>
    <t>Simply Wall Street</t>
  </si>
  <si>
    <t>P/E</t>
  </si>
  <si>
    <t>Revenew Growth</t>
  </si>
  <si>
    <t>Gross Profit Growth</t>
  </si>
  <si>
    <t>Operating Income Growth</t>
  </si>
  <si>
    <t>EBITDA Growth</t>
  </si>
  <si>
    <t>EPS Growth</t>
  </si>
  <si>
    <t>Increase in Total Assets</t>
  </si>
  <si>
    <t>Too much Long Term Debt?</t>
  </si>
  <si>
    <t>CFO growth ?</t>
  </si>
  <si>
    <t>FCF growth ?</t>
  </si>
  <si>
    <t>Net Profit Margin</t>
  </si>
  <si>
    <t>Cash Flow Margin</t>
  </si>
  <si>
    <t>DCF</t>
  </si>
  <si>
    <t>Do we have sentiment for the company?</t>
  </si>
  <si>
    <t>10-K Checkup. Do we like the biz model?</t>
  </si>
  <si>
    <t>10K Report</t>
  </si>
  <si>
    <t>Peers</t>
  </si>
  <si>
    <t>Peers Comparison</t>
  </si>
  <si>
    <t>EV/EBITDA Multiple</t>
  </si>
  <si>
    <t>PE Multiple</t>
  </si>
  <si>
    <t>Forward PE Multiple</t>
  </si>
  <si>
    <t>ROA (the more the better)</t>
  </si>
  <si>
    <t>Price to FCF</t>
  </si>
  <si>
    <t>x</t>
  </si>
  <si>
    <t>Implied Share Price</t>
  </si>
  <si>
    <t>5 Years</t>
  </si>
  <si>
    <t>10 Years</t>
  </si>
  <si>
    <t>Date</t>
  </si>
  <si>
    <t>Current Share Price</t>
  </si>
  <si>
    <t>Upside (Downside)</t>
  </si>
  <si>
    <t>Assumptions</t>
  </si>
  <si>
    <t>Switches</t>
  </si>
  <si>
    <t>Conservative Case</t>
  </si>
  <si>
    <t>Base Case</t>
  </si>
  <si>
    <t>Optimistic Case</t>
  </si>
  <si>
    <t>Revenue Growth</t>
  </si>
  <si>
    <t>EBIT Margin</t>
  </si>
  <si>
    <t>Taxes</t>
  </si>
  <si>
    <t>Last 5Y Revenue Average</t>
  </si>
  <si>
    <t>D&amp;A</t>
  </si>
  <si>
    <t>CapEx</t>
  </si>
  <si>
    <t>WACC</t>
  </si>
  <si>
    <t>TGR</t>
  </si>
  <si>
    <t>Valuation Assumptions</t>
  </si>
  <si>
    <t>Income Statement</t>
  </si>
  <si>
    <t>TTM</t>
  </si>
  <si>
    <t>Revenue</t>
  </si>
  <si>
    <t>% growth</t>
  </si>
  <si>
    <t>EBIT</t>
  </si>
  <si>
    <t>% of revenue</t>
  </si>
  <si>
    <t>% of EBIT</t>
  </si>
  <si>
    <t>Cash Flow Items</t>
  </si>
  <si>
    <t>% of CapEx</t>
  </si>
  <si>
    <t>Capital Expenditures</t>
  </si>
  <si>
    <t>Change in NWC</t>
  </si>
  <si>
    <t>% of change in revenue</t>
  </si>
  <si>
    <t>Base Case - Street Estimates</t>
  </si>
  <si>
    <t>% of sales</t>
  </si>
  <si>
    <t>EBIAT</t>
  </si>
  <si>
    <t>% of Sales</t>
  </si>
  <si>
    <t>CapEx Step</t>
  </si>
  <si>
    <t>Unlevered Free Cash Flow</t>
  </si>
  <si>
    <t>Present Value of Free Cash Flow</t>
  </si>
  <si>
    <t>Terminal Value</t>
  </si>
  <si>
    <t>Present Value of Terminal Value</t>
  </si>
  <si>
    <t>Enterprise Value</t>
  </si>
  <si>
    <t>(+) Cash</t>
  </si>
  <si>
    <t>(-) Debt</t>
  </si>
  <si>
    <t>Equity Value</t>
  </si>
  <si>
    <t>Basic Shares</t>
  </si>
  <si>
    <t>Share Price</t>
  </si>
  <si>
    <t>WACC = (% Equity x Cost of Equity) + (% Debt x Cost of Debt x (1 -Tax rate))</t>
  </si>
  <si>
    <t>Cost of Equity = Risk Free Rate + (Beta x (Expected Market Return - Risk Free Rate))</t>
  </si>
  <si>
    <t>Debt</t>
  </si>
  <si>
    <t>Market Risk Premium</t>
  </si>
  <si>
    <t>% Debt</t>
  </si>
  <si>
    <t>Risk Free Rate * Beta</t>
  </si>
  <si>
    <t>From Country</t>
  </si>
  <si>
    <t>Cost of Debt</t>
  </si>
  <si>
    <t>Tax Rate</t>
  </si>
  <si>
    <t>% Equity</t>
  </si>
  <si>
    <t>Cost of Equity</t>
  </si>
  <si>
    <t>Tax Rates</t>
  </si>
  <si>
    <t>Risk Free Rate</t>
  </si>
  <si>
    <t>5Y Avg Company Taxes</t>
  </si>
  <si>
    <t>Average</t>
  </si>
  <si>
    <t>Beta</t>
  </si>
  <si>
    <t>Debt + Equity</t>
  </si>
  <si>
    <t xml:space="preserve">Market Risk Premium + Tax Rate can be taken from </t>
  </si>
  <si>
    <t>https://pages.stern.nyu.edu/~adamodar/New_Home_Page/datafile/ctryprem.html</t>
  </si>
  <si>
    <t xml:space="preserve">WACC Alternative Data can be taken from </t>
  </si>
  <si>
    <t>To get the segments data you can use 10K SEC fillings</t>
  </si>
  <si>
    <t>Instructions:</t>
  </si>
  <si>
    <t xml:space="preserve"> - Open 10K (and 10Q for TTM)</t>
  </si>
  <si>
    <t xml:space="preserve"> - Click Sections!Search for the Revenue section in the search bar</t>
  </si>
  <si>
    <t xml:space="preserve"> - Search for the Revenue sections in the sections bar</t>
  </si>
  <si>
    <t xml:space="preserve"> - Use only the latest Revenue breakdown (since it may change in the future)</t>
  </si>
  <si>
    <t xml:space="preserve"> - Once filled compare if the total Revenue matches the one in the Section heading</t>
  </si>
  <si>
    <t>Revenue Breakdown</t>
  </si>
  <si>
    <t>Google Search &amp; other</t>
  </si>
  <si>
    <t>YouTube ads</t>
  </si>
  <si>
    <t>Google Network</t>
  </si>
  <si>
    <t>Google advertising</t>
  </si>
  <si>
    <t>Google other</t>
  </si>
  <si>
    <t>Google Services total</t>
  </si>
  <si>
    <t>Google Cloud</t>
  </si>
  <si>
    <t>Other Bets</t>
  </si>
  <si>
    <t>Hedging gains (losses)</t>
  </si>
  <si>
    <t>Total revenues</t>
  </si>
  <si>
    <t>RAW DATA</t>
  </si>
  <si>
    <t>$</t>
  </si>
  <si>
    <t>Comparable Companies Analysis</t>
  </si>
  <si>
    <t>Overrides</t>
  </si>
  <si>
    <t>Company Peers</t>
  </si>
  <si>
    <t>FMP Company Peers</t>
  </si>
  <si>
    <t>Peers (comma separated)</t>
  </si>
  <si>
    <t>Financials</t>
  </si>
  <si>
    <t>Valuation</t>
  </si>
  <si>
    <t>Company</t>
  </si>
  <si>
    <t>Shares Outstanding 
(millions)</t>
  </si>
  <si>
    <t>Equity Value
(millions)</t>
  </si>
  <si>
    <t>Cash and equivalents
(millions)</t>
  </si>
  <si>
    <t>Net Debt
(millions)</t>
  </si>
  <si>
    <t>Enterprise 
 Value</t>
  </si>
  <si>
    <t>Revenue
(millions)</t>
  </si>
  <si>
    <t>EBITDA
(millions)</t>
  </si>
  <si>
    <t>Net Income
(millions)</t>
  </si>
  <si>
    <t>EV/Revenue</t>
  </si>
  <si>
    <t>EV/EBITDA</t>
  </si>
  <si>
    <t>High</t>
  </si>
  <si>
    <t>75th Percentile</t>
  </si>
  <si>
    <t>Median</t>
  </si>
  <si>
    <t>25th Percentile</t>
  </si>
  <si>
    <t>Low</t>
  </si>
  <si>
    <t>Implied Enterprise Value</t>
  </si>
  <si>
    <t>Net Debt</t>
  </si>
  <si>
    <t>Implied Market Value</t>
  </si>
  <si>
    <t>Shares Outstanding</t>
  </si>
  <si>
    <t>Implied Value Per Share</t>
  </si>
  <si>
    <t>VIDEO:</t>
  </si>
  <si>
    <t>https://www.youtube.com/watch?v=CPtBJN3SAvs&amp;ab_channel=KenjiExplains</t>
  </si>
  <si>
    <t>EBITDA</t>
  </si>
  <si>
    <t>EBITDA Margin</t>
  </si>
  <si>
    <t>EV/EBITDA Valuation</t>
  </si>
  <si>
    <t xml:space="preserve">  Gross Profit</t>
  </si>
  <si>
    <t>Other Operating Expense/(Income)</t>
  </si>
  <si>
    <t xml:space="preserve">  Operating Expense., Total</t>
  </si>
  <si>
    <t xml:space="preserve">  Operating Income</t>
  </si>
  <si>
    <t>Interest Expense</t>
  </si>
  <si>
    <t>Interest Income</t>
  </si>
  <si>
    <t xml:space="preserve">  Net Interest Exp.</t>
  </si>
  <si>
    <t>Other Non-Operating Exp. (Inc)</t>
  </si>
  <si>
    <t>Income Tax Expense</t>
  </si>
  <si>
    <t xml:space="preserve">  Net Income</t>
  </si>
  <si>
    <t>Per Share Items</t>
  </si>
  <si>
    <t>Basic EPS</t>
  </si>
  <si>
    <t>Weighted Avg. Basic Shares Out.</t>
  </si>
  <si>
    <t>Diluted EPS</t>
  </si>
  <si>
    <t>Weighted Avg. Diluted Shares Out.</t>
  </si>
  <si>
    <t>Supplemental Items</t>
  </si>
  <si>
    <t>EBITA</t>
  </si>
  <si>
    <t>Cost of Revenue</t>
  </si>
  <si>
    <t xml:space="preserve">  Revenue</t>
  </si>
  <si>
    <t xml:space="preserve">    % ratio</t>
  </si>
  <si>
    <t xml:space="preserve">     % ratio</t>
  </si>
  <si>
    <t>Selling and Marketing</t>
  </si>
  <si>
    <t>Research &amp; Development</t>
  </si>
  <si>
    <t>General and Administrative</t>
  </si>
  <si>
    <t xml:space="preserve">  Income Before Tax (EBT)</t>
  </si>
  <si>
    <t>Income(Loss) Attributable to Non-Controlling Interest</t>
  </si>
  <si>
    <t>Depreciation and Amortization</t>
  </si>
  <si>
    <t>SEGMENTS &amp; KPI</t>
  </si>
  <si>
    <t>https://finchat.io/company/NasdaqGS-SEDG/?statement=segments-and-kpis</t>
  </si>
  <si>
    <t>Balance Sheet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</si>
  <si>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</si>
  <si>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</si>
  <si>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</si>
  <si>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</si>
  <si>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</si>
  <si>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</si>
  <si>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</si>
  <si>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</si>
  <si>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</si>
  <si>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</si>
  <si>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</si>
  <si>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ASSETS</t>
  </si>
  <si>
    <t>Cash And Equivalents</t>
  </si>
  <si>
    <t>Short Term Investments</t>
  </si>
  <si>
    <t>Inventories</t>
  </si>
  <si>
    <t>Other Current Assets</t>
  </si>
  <si>
    <t xml:space="preserve">  Total Current Assets</t>
  </si>
  <si>
    <t xml:space="preserve">  Net Property, Plant &amp; Equipment</t>
  </si>
  <si>
    <t>Long-term Investments</t>
  </si>
  <si>
    <t>Other Long-Term Assets</t>
  </si>
  <si>
    <t>Total Assets</t>
  </si>
  <si>
    <t>LIABILITIES</t>
  </si>
  <si>
    <t>Accounts Payable</t>
  </si>
  <si>
    <t>Other Current Liabilities</t>
  </si>
  <si>
    <t xml:space="preserve">  Total Current Liabilities</t>
  </si>
  <si>
    <t>Long-Term Debt</t>
  </si>
  <si>
    <t>Other Non-Current Liabilities</t>
  </si>
  <si>
    <t>Common Stock</t>
  </si>
  <si>
    <t>Total Equity</t>
  </si>
  <si>
    <t>Total Liabilities And Equity</t>
  </si>
  <si>
    <t>Total Debt</t>
  </si>
  <si>
    <t>--</t>
  </si>
  <si>
    <t>Cash Flow</t>
  </si>
  <si>
    <t>Other Non-Cash Adj</t>
  </si>
  <si>
    <t xml:space="preserve">  Cash from Ops.</t>
  </si>
  <si>
    <t>Capital Expenditure</t>
  </si>
  <si>
    <t>Other Investing Activities</t>
  </si>
  <si>
    <t xml:space="preserve">  Cash from Investing</t>
  </si>
  <si>
    <t>Other Financing Activities</t>
  </si>
  <si>
    <t xml:space="preserve">  Cash from Financing</t>
  </si>
  <si>
    <t xml:space="preserve">  Net Change in Cash</t>
  </si>
  <si>
    <t>Ratios</t>
  </si>
  <si>
    <t>Profitability</t>
  </si>
  <si>
    <t xml:space="preserve">  Return on Assets</t>
  </si>
  <si>
    <t xml:space="preserve">  Return on Capital</t>
  </si>
  <si>
    <t xml:space="preserve">  Return on Equity</t>
  </si>
  <si>
    <t>Margin Analysis</t>
  </si>
  <si>
    <t xml:space="preserve">  Gross Margin</t>
  </si>
  <si>
    <t xml:space="preserve">  SG&amp;A Margin</t>
  </si>
  <si>
    <t xml:space="preserve">  EBITDA Margin</t>
  </si>
  <si>
    <t xml:space="preserve">  EBIT Margin</t>
  </si>
  <si>
    <t xml:space="preserve">  Earnings from Cont. Ops Margin</t>
  </si>
  <si>
    <t xml:space="preserve">  Net Income Margin</t>
  </si>
  <si>
    <t xml:space="preserve">  Normalized Net Income Margin</t>
  </si>
  <si>
    <t xml:space="preserve"> Free Cash Flow Margin</t>
  </si>
  <si>
    <t>Asset Turnover</t>
  </si>
  <si>
    <t xml:space="preserve">  Total Asset Turnover</t>
  </si>
  <si>
    <t>1,1x</t>
  </si>
  <si>
    <t>0,9x</t>
  </si>
  <si>
    <t>0,8x</t>
  </si>
  <si>
    <t>0,7x</t>
  </si>
  <si>
    <t xml:space="preserve">  Fixed Asset Turnover</t>
  </si>
  <si>
    <t>16,9x</t>
  </si>
  <si>
    <t>17,3x</t>
  </si>
  <si>
    <t>13,5x</t>
  </si>
  <si>
    <t>10,7x</t>
  </si>
  <si>
    <t>9,8x</t>
  </si>
  <si>
    <t>10,8x</t>
  </si>
  <si>
    <t>8,7x</t>
  </si>
  <si>
    <t>7,5x</t>
  </si>
  <si>
    <t>7,1x</t>
  </si>
  <si>
    <t>6,6x</t>
  </si>
  <si>
    <t xml:space="preserve">  Accounts Receivable Turnover</t>
  </si>
  <si>
    <t>14,7x</t>
  </si>
  <si>
    <t>19,9x</t>
  </si>
  <si>
    <t>19,2x</t>
  </si>
  <si>
    <t>14,2x</t>
  </si>
  <si>
    <t>12,0x</t>
  </si>
  <si>
    <t>13,6x</t>
  </si>
  <si>
    <t>13,2x</t>
  </si>
  <si>
    <t>12,9x</t>
  </si>
  <si>
    <t>11,3x</t>
  </si>
  <si>
    <t>14,1x</t>
  </si>
  <si>
    <t xml:space="preserve">  Inventory Turnover</t>
  </si>
  <si>
    <t>52,5x</t>
  </si>
  <si>
    <t>70,5x</t>
  </si>
  <si>
    <t>112,1x</t>
  </si>
  <si>
    <t>83,4x</t>
  </si>
  <si>
    <t>57,9x</t>
  </si>
  <si>
    <t>62,8x</t>
  </si>
  <si>
    <t>58,6x</t>
  </si>
  <si>
    <t>40,4x</t>
  </si>
  <si>
    <t>37,2x</t>
  </si>
  <si>
    <t>40,1x</t>
  </si>
  <si>
    <t>41,5x</t>
  </si>
  <si>
    <t>Short Term Liquidity</t>
  </si>
  <si>
    <t xml:space="preserve">  Current Ratio</t>
  </si>
  <si>
    <t>2,0x</t>
  </si>
  <si>
    <t>1,6x</t>
  </si>
  <si>
    <t>1,5x</t>
  </si>
  <si>
    <t>1,7x</t>
  </si>
  <si>
    <t>1,4x</t>
  </si>
  <si>
    <t>1,3x</t>
  </si>
  <si>
    <t xml:space="preserve">  Quick Ratio</t>
  </si>
  <si>
    <t>1,0x</t>
  </si>
  <si>
    <t>1,2x</t>
  </si>
  <si>
    <t xml:space="preserve">  Cash from Ops. To Curr Liab</t>
  </si>
  <si>
    <t>0,4x</t>
  </si>
  <si>
    <t>0,5x</t>
  </si>
  <si>
    <t>0,6x</t>
  </si>
  <si>
    <t xml:space="preserve">  Avg. Days Sales Out.</t>
  </si>
  <si>
    <t>24,8x</t>
  </si>
  <si>
    <t>18,3x</t>
  </si>
  <si>
    <t>19,3x</t>
  </si>
  <si>
    <t>25,6x</t>
  </si>
  <si>
    <t>30,4x</t>
  </si>
  <si>
    <t>26,7x</t>
  </si>
  <si>
    <t>27,5x</t>
  </si>
  <si>
    <t>27,2x</t>
  </si>
  <si>
    <t>28,1x</t>
  </si>
  <si>
    <t>32,3x</t>
  </si>
  <si>
    <t>25,9x</t>
  </si>
  <si>
    <t xml:space="preserve">  Avg. Days Inventory Out.</t>
  </si>
  <si>
    <t>6,9x</t>
  </si>
  <si>
    <t>5,2x</t>
  </si>
  <si>
    <t>3,3x</t>
  </si>
  <si>
    <t>4,4x</t>
  </si>
  <si>
    <t>6,3x</t>
  </si>
  <si>
    <t>5,8x</t>
  </si>
  <si>
    <t>6,2x</t>
  </si>
  <si>
    <t>9,2x</t>
  </si>
  <si>
    <t>9,1x</t>
  </si>
  <si>
    <t>8,8x</t>
  </si>
  <si>
    <t xml:space="preserve">  Avg. Days Payable Out.</t>
  </si>
  <si>
    <t>79,9x</t>
  </si>
  <si>
    <t>75,6x</t>
  </si>
  <si>
    <t>73,7x</t>
  </si>
  <si>
    <t>85,0x</t>
  </si>
  <si>
    <t>85,2x</t>
  </si>
  <si>
    <t>101,0x</t>
  </si>
  <si>
    <t>111,4x</t>
  </si>
  <si>
    <t>117,3x</t>
  </si>
  <si>
    <t>114,8x</t>
  </si>
  <si>
    <t>95,1x</t>
  </si>
  <si>
    <t xml:space="preserve">  Avg. Cash Conversion Cycle</t>
  </si>
  <si>
    <t>-48,2x</t>
  </si>
  <si>
    <t>-52,1x</t>
  </si>
  <si>
    <t>-53,0x</t>
  </si>
  <si>
    <t>-43,7x</t>
  </si>
  <si>
    <t>-52,7x</t>
  </si>
  <si>
    <t>-67,3x</t>
  </si>
  <si>
    <t>-75,0x</t>
  </si>
  <si>
    <t>-79,3x</t>
  </si>
  <si>
    <t>-73,5x</t>
  </si>
  <si>
    <t>-60,4x</t>
  </si>
  <si>
    <t>Long Term Solvency</t>
  </si>
  <si>
    <t xml:space="preserve">  Total Debt/Equity</t>
  </si>
  <si>
    <t xml:space="preserve">  Total Debt/Capital</t>
  </si>
  <si>
    <t xml:space="preserve">  LT Debt/Equity</t>
  </si>
  <si>
    <t xml:space="preserve">  LT Debt/Capital</t>
  </si>
  <si>
    <t xml:space="preserve">  Total Liabilities/Total Assets</t>
  </si>
  <si>
    <t xml:space="preserve">  EBIT / Interest Exp.</t>
  </si>
  <si>
    <t>360,29x</t>
  </si>
  <si>
    <t>136,73x</t>
  </si>
  <si>
    <t>97,18x</t>
  </si>
  <si>
    <t>41,23x</t>
  </si>
  <si>
    <t>26,41x</t>
  </si>
  <si>
    <t>21,88x</t>
  </si>
  <si>
    <t>17,88x</t>
  </si>
  <si>
    <t>23,07x</t>
  </si>
  <si>
    <t xml:space="preserve">  EBITDA / Interest Exp.</t>
  </si>
  <si>
    <t>409,97x</t>
  </si>
  <si>
    <t>157,42x</t>
  </si>
  <si>
    <t>112,53x</t>
  </si>
  <si>
    <t>48,44x</t>
  </si>
  <si>
    <t>30,78x</t>
  </si>
  <si>
    <t>25,25x</t>
  </si>
  <si>
    <t>21,39x</t>
  </si>
  <si>
    <t>27,44x</t>
  </si>
  <si>
    <t xml:space="preserve">  (EBITDA-CAPEX) / Interest Exp.</t>
  </si>
  <si>
    <t>#N/A Invalid Field</t>
  </si>
  <si>
    <t xml:space="preserve">  Total Debt/EBITDA</t>
  </si>
  <si>
    <t>0,00x</t>
  </si>
  <si>
    <t>0,30x</t>
  </si>
  <si>
    <t>0,58x</t>
  </si>
  <si>
    <t>0,78x</t>
  </si>
  <si>
    <t>1,23x</t>
  </si>
  <si>
    <t>1,62x</t>
  </si>
  <si>
    <t>1,40x</t>
  </si>
  <si>
    <t>1,41x</t>
  </si>
  <si>
    <t>1,55x</t>
  </si>
  <si>
    <t xml:space="preserve">  Net Debt/EBITDA</t>
  </si>
  <si>
    <t>-2,63x</t>
  </si>
  <si>
    <t>-2,29x</t>
  </si>
  <si>
    <t>-2,07x</t>
  </si>
  <si>
    <t>-2,33x</t>
  </si>
  <si>
    <t>-1,98x</t>
  </si>
  <si>
    <t>-1,71x</t>
  </si>
  <si>
    <t>-2,13x</t>
  </si>
  <si>
    <t>-2,14x</t>
  </si>
  <si>
    <t>-1,50x</t>
  </si>
  <si>
    <t>-1,28x</t>
  </si>
  <si>
    <t>-0,88x</t>
  </si>
  <si>
    <t xml:space="preserve">  Altman Z Score</t>
  </si>
  <si>
    <t xml:space="preserve">  Total Cash &amp; Short Term Investments</t>
  </si>
  <si>
    <t xml:space="preserve">  Receivables</t>
  </si>
  <si>
    <t>Goodwill</t>
  </si>
  <si>
    <t>Intangible Assets</t>
  </si>
  <si>
    <t xml:space="preserve">  Total Goodwill and Intangible Assets</t>
  </si>
  <si>
    <t>Notes Payable / Short-term Debt</t>
  </si>
  <si>
    <t>Tax Payables</t>
  </si>
  <si>
    <t>Deferred Revenue</t>
  </si>
  <si>
    <t>Deferred Tax Liabilities (Unearned Revenue), Non-Current</t>
  </si>
  <si>
    <t xml:space="preserve">  Total Non-current Assets</t>
  </si>
  <si>
    <t>Total Non-Current Liabilities</t>
  </si>
  <si>
    <t>Retained Earnings (Accumulated Deficit)</t>
  </si>
  <si>
    <t>Accumulated Other Comprehensive Income/(Loss)</t>
  </si>
  <si>
    <t>Total Investments</t>
  </si>
  <si>
    <t>Total Liabilities</t>
  </si>
  <si>
    <t>Deferred Income Tax</t>
  </si>
  <si>
    <t>Stock Based Compensation</t>
  </si>
  <si>
    <t xml:space="preserve">  Changes in Working Capital</t>
  </si>
  <si>
    <t>Accounts Receivable</t>
  </si>
  <si>
    <t>Inventory</t>
  </si>
  <si>
    <t>Other Working Capital</t>
  </si>
  <si>
    <t xml:space="preserve">  Depreciation &amp; Amort., Total</t>
  </si>
  <si>
    <t>Investments in Property Plant and Equipment</t>
  </si>
  <si>
    <t>Payments for Acquisitions</t>
  </si>
  <si>
    <t>Purchases of Securities</t>
  </si>
  <si>
    <t>Proceeds from Sales and Maturities of Securities</t>
  </si>
  <si>
    <t>Debt Repayment</t>
  </si>
  <si>
    <t>Dividends Paid</t>
  </si>
  <si>
    <t>Common Stock Issued</t>
  </si>
  <si>
    <t>Common Stock Repurchased</t>
  </si>
  <si>
    <t xml:space="preserve"> Effect of Forex Changes on Cash</t>
  </si>
  <si>
    <t xml:space="preserve">  Free Cash Flow</t>
  </si>
  <si>
    <t>Cash at Beginning of Period</t>
  </si>
  <si>
    <t>Cash at End of Period</t>
  </si>
  <si>
    <t>Operating Cash Flow</t>
  </si>
  <si>
    <t>Market Cap</t>
  </si>
  <si>
    <t>Name</t>
  </si>
  <si>
    <t>Sector</t>
  </si>
  <si>
    <t>Industry</t>
  </si>
  <si>
    <t>Exchange Short Name</t>
  </si>
  <si>
    <t>IPO Date</t>
  </si>
  <si>
    <t>Full Time Employees</t>
  </si>
  <si>
    <t>Website</t>
  </si>
  <si>
    <t>Analysis Date</t>
  </si>
  <si>
    <t>Company Information</t>
  </si>
  <si>
    <t>Description</t>
  </si>
  <si>
    <t>RESOURCES</t>
  </si>
  <si>
    <t>Price</t>
  </si>
  <si>
    <t>Model Assumptions</t>
  </si>
  <si>
    <t>Country</t>
  </si>
  <si>
    <t>Country Risk Premium</t>
  </si>
  <si>
    <t>Corporate Tax Rate</t>
  </si>
  <si>
    <t>TBD</t>
  </si>
  <si>
    <t>Analysis</t>
  </si>
  <si>
    <t>Earnings Estimate</t>
  </si>
  <si>
    <t xml:space="preserve">  Year Ago EPS</t>
  </si>
  <si>
    <t xml:space="preserve">  High Estimate</t>
  </si>
  <si>
    <t xml:space="preserve">  Low Estimate</t>
  </si>
  <si>
    <t xml:space="preserve">  Avg. Estimate</t>
  </si>
  <si>
    <t xml:space="preserve">  No. of Analysts</t>
  </si>
  <si>
    <t xml:space="preserve"> Revenue Estimate</t>
  </si>
  <si>
    <t xml:space="preserve">  Year Ago Sales</t>
  </si>
  <si>
    <t xml:space="preserve">  Sales Growth (year/est)</t>
  </si>
  <si>
    <t>Growth Estimates</t>
  </si>
  <si>
    <t xml:space="preserve">  Current Qtr.</t>
  </si>
  <si>
    <t xml:space="preserve">  Next Qtr.</t>
  </si>
  <si>
    <t xml:space="preserve">  Current Year</t>
  </si>
  <si>
    <t xml:space="preserve">  Next Year</t>
  </si>
  <si>
    <t xml:space="preserve">  Next 5 Years (per annum)</t>
  </si>
  <si>
    <t xml:space="preserve">  Past 5 Years (per annum)</t>
  </si>
  <si>
    <t>Earnings History</t>
  </si>
  <si>
    <t xml:space="preserve">  EPS Estimated</t>
  </si>
  <si>
    <t xml:space="preserve">  EPS Actual</t>
  </si>
  <si>
    <t xml:space="preserve">  Difference</t>
  </si>
  <si>
    <t xml:space="preserve">  Surprise (%)</t>
  </si>
  <si>
    <t>EPS Revisions</t>
  </si>
  <si>
    <t xml:space="preserve">  Up Last 7 Days</t>
  </si>
  <si>
    <t xml:space="preserve">  Up Last 30 Days</t>
  </si>
  <si>
    <t xml:space="preserve">  Down Last 7 Days</t>
  </si>
  <si>
    <t xml:space="preserve">  Down Last 30 Days</t>
  </si>
  <si>
    <t>EPS Trend</t>
  </si>
  <si>
    <t>Current Quarter</t>
  </si>
  <si>
    <t>Next Quarter</t>
  </si>
  <si>
    <t>Current Year</t>
  </si>
  <si>
    <t>Next Year</t>
  </si>
  <si>
    <t xml:space="preserve">  Current Estimate</t>
  </si>
  <si>
    <t xml:space="preserve">  7 Days Ago</t>
  </si>
  <si>
    <t xml:space="preserve">  30 Days Ago</t>
  </si>
  <si>
    <t xml:space="preserve">  60 Days Ago</t>
  </si>
  <si>
    <t xml:space="preserve">  90 Days Ago</t>
  </si>
  <si>
    <t>Price / Earnings</t>
  </si>
  <si>
    <t>FIXME |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</si>
</sst>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$&quot;#,##0.00"/>
    <numFmt numFmtId="165" formatCode="d&quot;-&quot;mmm&quot;-&quot;yyyy"/>
    <numFmt numFmtId="166" formatCode="[$$]#,##0.00"/>
    <numFmt numFmtId="167" formatCode="0.0%"/>
    <numFmt numFmtId="168" formatCode="#,##0;\(#,##0\)"/>
    <numFmt numFmtId="169" formatCode="0.0\x"/>
    <numFmt numFmtId="170" formatCode="_(* #,##0.0_);_(* \(#,##0.0\);_(* &quot;-&quot;??_);_(@_)"/>
    <numFmt numFmtId="171" formatCode="_(* #,##0.00_);_(* \(#,##0.00\);_(* &quot;-&quot;??_);_(@_)"/>
    <numFmt numFmtId="172" formatCode="_(* #,##0_);_(* \(#,##0\);_(* &quot;-&quot;??_);_(@_)"/>
    <numFmt numFmtId="173" formatCode="0.0&quot;%&quot;"/>
    <numFmt numFmtId="174" formatCode="#,##0.0\x"/>
    <numFmt numFmtId="175" formatCode="#,##0.00\x"/>
    <numFmt numFmtId="176" formatCode="_(* #,##0.0#_);_(* \(#,##0.0#\)_)\ ;_(* 0_)"/>
    <numFmt numFmtId="177" formatCode="yyyy\-mm\-dd;@"/>
  </numFmts>
  <fonts count="49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548235"/>
      <name val="Calibri"/>
      <family val="2"/>
    </font>
    <font>
      <i/>
      <sz val="11"/>
      <color rgb="FF00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sz val="11"/>
      <color rgb="FF7030A0"/>
      <name val="Calibri"/>
      <family val="2"/>
    </font>
    <font>
      <i/>
      <sz val="11"/>
      <color rgb="FF7030A0"/>
      <name val="Calibri"/>
      <family val="2"/>
    </font>
    <font>
      <i/>
      <sz val="11"/>
      <color rgb="FFC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5"/>
      <color rgb="FF000000"/>
      <name val="&quot;Google Sans Mono&quot;"/>
    </font>
    <font>
      <sz val="12"/>
      <color rgb="FF000000"/>
      <name val="Calibri"/>
      <family val="2"/>
    </font>
    <font>
      <b/>
      <sz val="18"/>
      <color rgb="FF293D68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b/>
      <sz val="12"/>
      <color rgb="FF000000"/>
      <name val="Calibri"/>
      <family val="2"/>
    </font>
    <font>
      <b/>
      <sz val="12"/>
      <color rgb="FF0432FF"/>
      <name val="Calibri"/>
      <family val="2"/>
    </font>
    <font>
      <u/>
      <sz val="12"/>
      <color rgb="FF000000"/>
      <name val="Calibri"/>
      <family val="2"/>
    </font>
    <font>
      <sz val="11"/>
      <color theme="1"/>
      <name val="Arial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3"/>
      <name val="Calibri"/>
      <family val="2"/>
    </font>
    <font>
      <b/>
      <sz val="11"/>
      <color indexed="8"/>
      <name val="Calibri"/>
      <family val="2"/>
    </font>
    <font>
      <sz val="11"/>
      <color indexed="18"/>
      <name val="Calibri"/>
      <family val="2"/>
    </font>
    <font>
      <b/>
      <u/>
      <sz val="11"/>
      <color rgb="FFFFFFFF"/>
      <name val="Calibri"/>
      <family val="2"/>
    </font>
    <font>
      <b/>
      <sz val="10"/>
      <color rgb="FFFFFFFF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1"/>
      <name val="Calibri"/>
      <family val="2"/>
    </font>
    <font>
      <b/>
      <sz val="11"/>
      <color theme="3"/>
      <name val="Calibri"/>
      <family val="2"/>
    </font>
    <font>
      <sz val="11"/>
      <color indexed="49"/>
      <name val="Calibri"/>
      <family val="2"/>
    </font>
    <font>
      <sz val="10"/>
      <name val="Arial"/>
      <family val="2"/>
      <charset val="204"/>
      <scheme val="minor"/>
    </font>
    <font>
      <sz val="11"/>
      <color rgb="FF44546A"/>
      <name val="Calibri"/>
      <family val="2"/>
    </font>
    <font>
      <sz val="11"/>
      <color rgb="FF000080"/>
      <name val="Calibri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44546A"/>
        <bgColor rgb="FF44546A"/>
      </patternFill>
    </fill>
    <fill>
      <patternFill patternType="solid">
        <fgColor rgb="FFD9E1F2"/>
        <bgColor rgb="FFD9E1F2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44546A"/>
        <bgColor rgb="FF293D68"/>
      </patternFill>
    </fill>
  </fills>
  <borders count="4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293D68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hair">
        <color rgb="FF000000"/>
      </right>
      <top style="thin">
        <color indexed="9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/>
      <top style="thin">
        <color indexed="9"/>
      </top>
      <bottom style="hair">
        <color rgb="FF000000"/>
      </bottom>
      <diagonal/>
    </border>
    <border>
      <left/>
      <right style="hair">
        <color rgb="FF000000"/>
      </right>
      <top style="thin">
        <color indexed="9"/>
      </top>
      <bottom style="hair">
        <color rgb="FF000000"/>
      </bottom>
      <diagonal/>
    </border>
    <border>
      <left style="hair">
        <color rgb="FF000000"/>
      </left>
      <right/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4">
    <xf numFmtId="0" fontId="0" fillId="0" borderId="0"/>
    <xf numFmtId="0" fontId="29" fillId="0" borderId="0"/>
    <xf numFmtId="0" fontId="30" fillId="0" borderId="0"/>
    <xf numFmtId="0" fontId="37" fillId="0" borderId="0" applyNumberFormat="0" applyFill="0" applyBorder="0" applyAlignment="0" applyProtection="0"/>
  </cellStyleXfs>
  <cellXfs count="24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1" fillId="2" borderId="1" xfId="0" applyNumberFormat="1" applyFont="1" applyFill="1" applyBorder="1" applyAlignment="1">
      <alignment horizontal="center"/>
    </xf>
    <xf numFmtId="0" fontId="1" fillId="0" borderId="2" xfId="0" applyFont="1" applyBorder="1"/>
    <xf numFmtId="0" fontId="7" fillId="0" borderId="2" xfId="0" applyFont="1" applyBorder="1"/>
    <xf numFmtId="0" fontId="9" fillId="0" borderId="0" xfId="0" applyFont="1"/>
    <xf numFmtId="164" fontId="1" fillId="0" borderId="0" xfId="0" applyNumberFormat="1" applyFont="1" applyAlignment="1">
      <alignment horizontal="right"/>
    </xf>
    <xf numFmtId="0" fontId="10" fillId="3" borderId="0" xfId="0" applyFont="1" applyFill="1"/>
    <xf numFmtId="165" fontId="1" fillId="2" borderId="3" xfId="0" applyNumberFormat="1" applyFont="1" applyFill="1" applyBorder="1" applyAlignment="1">
      <alignment horizontal="center"/>
    </xf>
    <xf numFmtId="166" fontId="1" fillId="0" borderId="0" xfId="0" applyNumberFormat="1" applyFont="1"/>
    <xf numFmtId="167" fontId="1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7" fontId="1" fillId="2" borderId="3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right"/>
    </xf>
    <xf numFmtId="168" fontId="11" fillId="0" borderId="0" xfId="0" applyNumberFormat="1" applyFont="1" applyAlignment="1">
      <alignment horizontal="right"/>
    </xf>
    <xf numFmtId="168" fontId="11" fillId="0" borderId="4" xfId="0" applyNumberFormat="1" applyFont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2" fillId="0" borderId="0" xfId="0" applyFont="1"/>
    <xf numFmtId="9" fontId="12" fillId="0" borderId="0" xfId="0" applyNumberFormat="1" applyFont="1" applyAlignment="1">
      <alignment horizontal="right"/>
    </xf>
    <xf numFmtId="9" fontId="12" fillId="0" borderId="4" xfId="0" applyNumberFormat="1" applyFont="1" applyBorder="1" applyAlignment="1">
      <alignment horizontal="right"/>
    </xf>
    <xf numFmtId="9" fontId="12" fillId="0" borderId="6" xfId="0" applyNumberFormat="1" applyFont="1" applyBorder="1" applyAlignment="1">
      <alignment horizontal="right"/>
    </xf>
    <xf numFmtId="0" fontId="3" fillId="0" borderId="4" xfId="0" applyFont="1" applyBorder="1"/>
    <xf numFmtId="0" fontId="1" fillId="0" borderId="6" xfId="0" applyFont="1" applyBorder="1"/>
    <xf numFmtId="0" fontId="1" fillId="0" borderId="4" xfId="0" applyFont="1" applyBorder="1"/>
    <xf numFmtId="168" fontId="13" fillId="0" borderId="4" xfId="0" applyNumberFormat="1" applyFont="1" applyBorder="1" applyAlignment="1">
      <alignment horizontal="right"/>
    </xf>
    <xf numFmtId="168" fontId="13" fillId="0" borderId="0" xfId="0" applyNumberFormat="1" applyFont="1" applyAlignment="1">
      <alignment horizontal="right"/>
    </xf>
    <xf numFmtId="168" fontId="14" fillId="0" borderId="0" xfId="0" applyNumberFormat="1" applyFont="1" applyAlignment="1">
      <alignment horizontal="right"/>
    </xf>
    <xf numFmtId="168" fontId="14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168" fontId="15" fillId="0" borderId="0" xfId="0" applyNumberFormat="1" applyFont="1" applyAlignment="1">
      <alignment horizontal="right"/>
    </xf>
    <xf numFmtId="168" fontId="15" fillId="0" borderId="4" xfId="0" applyNumberFormat="1" applyFont="1" applyBorder="1" applyAlignment="1">
      <alignment horizontal="right"/>
    </xf>
    <xf numFmtId="168" fontId="1" fillId="0" borderId="4" xfId="0" applyNumberFormat="1" applyFont="1" applyBorder="1" applyAlignment="1">
      <alignment horizontal="right"/>
    </xf>
    <xf numFmtId="167" fontId="12" fillId="0" borderId="0" xfId="0" applyNumberFormat="1" applyFont="1" applyAlignment="1">
      <alignment horizontal="right"/>
    </xf>
    <xf numFmtId="167" fontId="12" fillId="0" borderId="4" xfId="0" applyNumberFormat="1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6" fillId="2" borderId="1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167" fontId="16" fillId="2" borderId="7" xfId="0" applyNumberFormat="1" applyFont="1" applyFill="1" applyBorder="1" applyAlignment="1">
      <alignment horizontal="right"/>
    </xf>
    <xf numFmtId="9" fontId="12" fillId="2" borderId="1" xfId="0" applyNumberFormat="1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167" fontId="16" fillId="2" borderId="8" xfId="0" applyNumberFormat="1" applyFont="1" applyFill="1" applyBorder="1" applyAlignment="1">
      <alignment horizontal="right"/>
    </xf>
    <xf numFmtId="0" fontId="16" fillId="2" borderId="9" xfId="0" applyFont="1" applyFill="1" applyBorder="1" applyAlignment="1">
      <alignment horizontal="right"/>
    </xf>
    <xf numFmtId="0" fontId="12" fillId="2" borderId="7" xfId="0" applyFont="1" applyFill="1" applyBorder="1" applyAlignment="1">
      <alignment horizontal="right"/>
    </xf>
    <xf numFmtId="0" fontId="17" fillId="2" borderId="7" xfId="0" applyFont="1" applyFill="1" applyBorder="1" applyAlignment="1">
      <alignment horizontal="right"/>
    </xf>
    <xf numFmtId="9" fontId="12" fillId="2" borderId="10" xfId="0" applyNumberFormat="1" applyFont="1" applyFill="1" applyBorder="1" applyAlignment="1">
      <alignment horizontal="right"/>
    </xf>
    <xf numFmtId="9" fontId="17" fillId="2" borderId="8" xfId="0" applyNumberFormat="1" applyFont="1" applyFill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17" fillId="2" borderId="8" xfId="0" applyFont="1" applyFill="1" applyBorder="1" applyAlignment="1">
      <alignment horizontal="right"/>
    </xf>
    <xf numFmtId="167" fontId="16" fillId="2" borderId="9" xfId="0" applyNumberFormat="1" applyFont="1" applyFill="1" applyBorder="1" applyAlignment="1">
      <alignment horizontal="right"/>
    </xf>
    <xf numFmtId="167" fontId="17" fillId="2" borderId="7" xfId="0" applyNumberFormat="1" applyFont="1" applyFill="1" applyBorder="1" applyAlignment="1">
      <alignment horizontal="right"/>
    </xf>
    <xf numFmtId="167" fontId="12" fillId="2" borderId="10" xfId="0" applyNumberFormat="1" applyFont="1" applyFill="1" applyBorder="1" applyAlignment="1">
      <alignment horizontal="right"/>
    </xf>
    <xf numFmtId="167" fontId="17" fillId="2" borderId="8" xfId="0" applyNumberFormat="1" applyFont="1" applyFill="1" applyBorder="1" applyAlignment="1">
      <alignment horizontal="right"/>
    </xf>
    <xf numFmtId="167" fontId="16" fillId="2" borderId="10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8" fillId="4" borderId="0" xfId="0" applyFont="1" applyFill="1"/>
    <xf numFmtId="0" fontId="18" fillId="4" borderId="0" xfId="0" applyFont="1" applyFill="1" applyAlignment="1">
      <alignment horizontal="right"/>
    </xf>
    <xf numFmtId="168" fontId="19" fillId="0" borderId="4" xfId="0" applyNumberFormat="1" applyFont="1" applyBorder="1" applyAlignment="1">
      <alignment horizontal="right"/>
    </xf>
    <xf numFmtId="167" fontId="16" fillId="2" borderId="1" xfId="0" applyNumberFormat="1" applyFont="1" applyFill="1" applyBorder="1" applyAlignment="1">
      <alignment horizontal="right"/>
    </xf>
    <xf numFmtId="168" fontId="19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68" fontId="1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3" fillId="0" borderId="2" xfId="0" applyFont="1" applyBorder="1"/>
    <xf numFmtId="0" fontId="1" fillId="3" borderId="0" xfId="0" applyFont="1" applyFill="1"/>
    <xf numFmtId="167" fontId="1" fillId="0" borderId="0" xfId="0" applyNumberFormat="1" applyFont="1" applyAlignment="1">
      <alignment horizontal="right"/>
    </xf>
    <xf numFmtId="167" fontId="9" fillId="0" borderId="0" xfId="0" applyNumberFormat="1" applyFont="1"/>
    <xf numFmtId="167" fontId="2" fillId="0" borderId="0" xfId="0" applyNumberFormat="1" applyFont="1"/>
    <xf numFmtId="167" fontId="1" fillId="2" borderId="1" xfId="0" applyNumberFormat="1" applyFont="1" applyFill="1" applyBorder="1" applyAlignment="1">
      <alignment horizontal="right"/>
    </xf>
    <xf numFmtId="167" fontId="1" fillId="2" borderId="3" xfId="0" applyNumberFormat="1" applyFont="1" applyFill="1" applyBorder="1" applyAlignment="1">
      <alignment horizontal="right"/>
    </xf>
    <xf numFmtId="9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3" xfId="0" applyFont="1" applyFill="1" applyBorder="1" applyAlignment="1">
      <alignment horizontal="right"/>
    </xf>
    <xf numFmtId="167" fontId="1" fillId="0" borderId="0" xfId="0" applyNumberFormat="1" applyFont="1"/>
    <xf numFmtId="0" fontId="9" fillId="5" borderId="11" xfId="0" applyFont="1" applyFill="1" applyBorder="1"/>
    <xf numFmtId="0" fontId="1" fillId="5" borderId="12" xfId="0" applyFont="1" applyFill="1" applyBorder="1"/>
    <xf numFmtId="10" fontId="9" fillId="5" borderId="13" xfId="0" applyNumberFormat="1" applyFont="1" applyFill="1" applyBorder="1" applyAlignment="1">
      <alignment horizontal="right"/>
    </xf>
    <xf numFmtId="168" fontId="2" fillId="0" borderId="0" xfId="0" applyNumberFormat="1" applyFont="1"/>
    <xf numFmtId="167" fontId="3" fillId="0" borderId="0" xfId="0" applyNumberFormat="1" applyFont="1"/>
    <xf numFmtId="3" fontId="2" fillId="0" borderId="0" xfId="0" applyNumberFormat="1" applyFont="1"/>
    <xf numFmtId="0" fontId="3" fillId="0" borderId="14" xfId="0" applyFont="1" applyBorder="1"/>
    <xf numFmtId="0" fontId="20" fillId="6" borderId="0" xfId="0" applyFont="1" applyFill="1"/>
    <xf numFmtId="168" fontId="3" fillId="0" borderId="0" xfId="0" applyNumberFormat="1" applyFont="1"/>
    <xf numFmtId="3" fontId="3" fillId="0" borderId="0" xfId="0" applyNumberFormat="1" applyFont="1"/>
    <xf numFmtId="168" fontId="1" fillId="0" borderId="0" xfId="0" applyNumberFormat="1" applyFont="1"/>
    <xf numFmtId="168" fontId="12" fillId="0" borderId="0" xfId="0" applyNumberFormat="1" applyFont="1" applyAlignment="1">
      <alignment horizontal="right"/>
    </xf>
    <xf numFmtId="0" fontId="2" fillId="0" borderId="14" xfId="0" applyFont="1" applyBorder="1"/>
    <xf numFmtId="168" fontId="2" fillId="0" borderId="14" xfId="0" applyNumberFormat="1" applyFont="1" applyBorder="1"/>
    <xf numFmtId="3" fontId="2" fillId="0" borderId="14" xfId="0" applyNumberFormat="1" applyFont="1" applyBorder="1"/>
    <xf numFmtId="168" fontId="3" fillId="0" borderId="14" xfId="0" applyNumberFormat="1" applyFont="1" applyBorder="1"/>
    <xf numFmtId="3" fontId="3" fillId="0" borderId="14" xfId="0" applyNumberFormat="1" applyFont="1" applyBorder="1"/>
    <xf numFmtId="0" fontId="21" fillId="0" borderId="0" xfId="0" applyFont="1"/>
    <xf numFmtId="0" fontId="21" fillId="0" borderId="15" xfId="0" applyFont="1" applyBorder="1"/>
    <xf numFmtId="0" fontId="23" fillId="0" borderId="0" xfId="0" applyFont="1" applyAlignment="1">
      <alignment horizontal="center"/>
    </xf>
    <xf numFmtId="0" fontId="24" fillId="0" borderId="0" xfId="0" applyFont="1"/>
    <xf numFmtId="0" fontId="21" fillId="0" borderId="0" xfId="0" applyFont="1" applyAlignment="1">
      <alignment horizontal="center"/>
    </xf>
    <xf numFmtId="4" fontId="25" fillId="7" borderId="19" xfId="0" applyNumberFormat="1" applyFont="1" applyFill="1" applyBorder="1"/>
    <xf numFmtId="168" fontId="25" fillId="7" borderId="19" xfId="0" applyNumberFormat="1" applyFont="1" applyFill="1" applyBorder="1"/>
    <xf numFmtId="168" fontId="24" fillId="7" borderId="19" xfId="0" applyNumberFormat="1" applyFont="1" applyFill="1" applyBorder="1"/>
    <xf numFmtId="0" fontId="21" fillId="7" borderId="19" xfId="0" applyFont="1" applyFill="1" applyBorder="1"/>
    <xf numFmtId="169" fontId="24" fillId="7" borderId="19" xfId="0" applyNumberFormat="1" applyFont="1" applyFill="1" applyBorder="1"/>
    <xf numFmtId="169" fontId="24" fillId="7" borderId="20" xfId="0" applyNumberFormat="1" applyFont="1" applyFill="1" applyBorder="1"/>
    <xf numFmtId="4" fontId="25" fillId="0" borderId="21" xfId="0" applyNumberFormat="1" applyFont="1" applyBorder="1"/>
    <xf numFmtId="168" fontId="25" fillId="0" borderId="21" xfId="0" applyNumberFormat="1" applyFont="1" applyBorder="1"/>
    <xf numFmtId="168" fontId="24" fillId="0" borderId="21" xfId="0" applyNumberFormat="1" applyFont="1" applyBorder="1"/>
    <xf numFmtId="0" fontId="21" fillId="0" borderId="21" xfId="0" applyFont="1" applyBorder="1"/>
    <xf numFmtId="169" fontId="24" fillId="0" borderId="21" xfId="0" applyNumberFormat="1" applyFont="1" applyBorder="1"/>
    <xf numFmtId="169" fontId="24" fillId="0" borderId="22" xfId="0" applyNumberFormat="1" applyFont="1" applyBorder="1"/>
    <xf numFmtId="4" fontId="25" fillId="6" borderId="0" xfId="0" applyNumberFormat="1" applyFont="1" applyFill="1"/>
    <xf numFmtId="168" fontId="25" fillId="0" borderId="0" xfId="0" applyNumberFormat="1" applyFont="1"/>
    <xf numFmtId="168" fontId="24" fillId="0" borderId="0" xfId="0" applyNumberFormat="1" applyFont="1"/>
    <xf numFmtId="168" fontId="25" fillId="6" borderId="0" xfId="0" applyNumberFormat="1" applyFont="1" applyFill="1"/>
    <xf numFmtId="168" fontId="24" fillId="6" borderId="0" xfId="0" applyNumberFormat="1" applyFont="1" applyFill="1"/>
    <xf numFmtId="169" fontId="24" fillId="0" borderId="0" xfId="0" applyNumberFormat="1" applyFont="1"/>
    <xf numFmtId="0" fontId="21" fillId="7" borderId="0" xfId="0" applyFont="1" applyFill="1"/>
    <xf numFmtId="169" fontId="21" fillId="7" borderId="0" xfId="0" applyNumberFormat="1" applyFont="1" applyFill="1"/>
    <xf numFmtId="0" fontId="26" fillId="7" borderId="0" xfId="0" applyFont="1" applyFill="1"/>
    <xf numFmtId="169" fontId="26" fillId="7" borderId="0" xfId="0" applyNumberFormat="1" applyFont="1" applyFill="1"/>
    <xf numFmtId="168" fontId="21" fillId="0" borderId="0" xfId="0" applyNumberFormat="1" applyFont="1"/>
    <xf numFmtId="0" fontId="25" fillId="0" borderId="0" xfId="0" applyFont="1"/>
    <xf numFmtId="0" fontId="26" fillId="7" borderId="12" xfId="0" applyFont="1" applyFill="1" applyBorder="1"/>
    <xf numFmtId="0" fontId="27" fillId="7" borderId="12" xfId="0" applyFont="1" applyFill="1" applyBorder="1"/>
    <xf numFmtId="4" fontId="26" fillId="7" borderId="12" xfId="0" applyNumberFormat="1" applyFont="1" applyFill="1" applyBorder="1"/>
    <xf numFmtId="0" fontId="28" fillId="0" borderId="0" xfId="0" applyFont="1"/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167" fontId="15" fillId="0" borderId="0" xfId="0" applyNumberFormat="1" applyFont="1" applyAlignment="1">
      <alignment horizontal="right"/>
    </xf>
    <xf numFmtId="167" fontId="15" fillId="0" borderId="4" xfId="0" applyNumberFormat="1" applyFont="1" applyBorder="1" applyAlignment="1">
      <alignment horizontal="right"/>
    </xf>
    <xf numFmtId="0" fontId="12" fillId="2" borderId="10" xfId="0" applyFont="1" applyFill="1" applyBorder="1" applyAlignment="1">
      <alignment horizontal="right"/>
    </xf>
    <xf numFmtId="0" fontId="31" fillId="0" borderId="0" xfId="2" applyFont="1" applyAlignment="1">
      <alignment horizontal="left" vertical="top"/>
    </xf>
    <xf numFmtId="170" fontId="32" fillId="0" borderId="0" xfId="2" applyNumberFormat="1" applyFont="1" applyAlignment="1">
      <alignment horizontal="right" vertical="top"/>
    </xf>
    <xf numFmtId="0" fontId="33" fillId="0" borderId="28" xfId="2" applyFont="1" applyBorder="1" applyAlignment="1">
      <alignment horizontal="left" vertical="top"/>
    </xf>
    <xf numFmtId="170" fontId="33" fillId="0" borderId="24" xfId="2" applyNumberFormat="1" applyFont="1" applyBorder="1" applyAlignment="1">
      <alignment horizontal="right" vertical="top"/>
    </xf>
    <xf numFmtId="167" fontId="31" fillId="8" borderId="0" xfId="2" applyNumberFormat="1" applyFont="1" applyFill="1" applyAlignment="1">
      <alignment horizontal="left" vertical="top"/>
    </xf>
    <xf numFmtId="170" fontId="34" fillId="0" borderId="0" xfId="2" applyNumberFormat="1" applyFont="1" applyAlignment="1">
      <alignment horizontal="right" vertical="top"/>
    </xf>
    <xf numFmtId="170" fontId="31" fillId="0" borderId="0" xfId="2" applyNumberFormat="1" applyFont="1" applyAlignment="1">
      <alignment horizontal="left" vertical="top"/>
    </xf>
    <xf numFmtId="0" fontId="33" fillId="0" borderId="0" xfId="2" applyFont="1" applyAlignment="1">
      <alignment horizontal="left" vertical="top"/>
    </xf>
    <xf numFmtId="170" fontId="33" fillId="0" borderId="0" xfId="2" applyNumberFormat="1" applyFont="1" applyAlignment="1">
      <alignment horizontal="right" vertical="top"/>
    </xf>
    <xf numFmtId="170" fontId="32" fillId="0" borderId="0" xfId="2" applyNumberFormat="1" applyFont="1" applyAlignment="1">
      <alignment horizontal="left" vertical="top"/>
    </xf>
    <xf numFmtId="0" fontId="33" fillId="0" borderId="29" xfId="2" applyFont="1" applyBorder="1" applyAlignment="1">
      <alignment horizontal="left" vertical="top"/>
    </xf>
    <xf numFmtId="170" fontId="33" fillId="0" borderId="29" xfId="2" applyNumberFormat="1" applyFont="1" applyBorder="1" applyAlignment="1">
      <alignment horizontal="right" vertical="top"/>
    </xf>
    <xf numFmtId="171" fontId="32" fillId="0" borderId="0" xfId="2" applyNumberFormat="1" applyFont="1" applyAlignment="1">
      <alignment horizontal="right" vertical="top"/>
    </xf>
    <xf numFmtId="172" fontId="32" fillId="0" borderId="0" xfId="2" applyNumberFormat="1" applyFont="1" applyAlignment="1">
      <alignment horizontal="right" vertical="top"/>
    </xf>
    <xf numFmtId="0" fontId="35" fillId="9" borderId="23" xfId="1" applyFont="1" applyFill="1" applyBorder="1" applyAlignment="1">
      <alignment horizontal="center" vertical="center"/>
    </xf>
    <xf numFmtId="0" fontId="35" fillId="9" borderId="24" xfId="1" applyFont="1" applyFill="1" applyBorder="1" applyAlignment="1">
      <alignment horizontal="center" vertical="center"/>
    </xf>
    <xf numFmtId="0" fontId="36" fillId="9" borderId="26" xfId="1" applyFont="1" applyFill="1" applyBorder="1" applyAlignment="1">
      <alignment horizontal="center" vertical="center"/>
    </xf>
    <xf numFmtId="0" fontId="36" fillId="9" borderId="27" xfId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167" fontId="1" fillId="10" borderId="0" xfId="0" applyNumberFormat="1" applyFont="1" applyFill="1" applyAlignment="1">
      <alignment horizontal="left" vertical="top"/>
    </xf>
    <xf numFmtId="0" fontId="38" fillId="0" borderId="0" xfId="0" applyFont="1"/>
    <xf numFmtId="0" fontId="37" fillId="0" borderId="0" xfId="3"/>
    <xf numFmtId="0" fontId="33" fillId="0" borderId="0" xfId="2" applyFont="1" applyAlignment="1">
      <alignment vertical="center" wrapText="1"/>
    </xf>
    <xf numFmtId="170" fontId="42" fillId="0" borderId="0" xfId="2" applyNumberFormat="1" applyFont="1" applyAlignment="1">
      <alignment horizontal="right" vertical="top"/>
    </xf>
    <xf numFmtId="170" fontId="43" fillId="0" borderId="24" xfId="2" applyNumberFormat="1" applyFont="1" applyBorder="1" applyAlignment="1">
      <alignment horizontal="right" vertical="top"/>
    </xf>
    <xf numFmtId="170" fontId="44" fillId="0" borderId="0" xfId="2" applyNumberFormat="1" applyFont="1" applyAlignment="1">
      <alignment horizontal="left" vertical="top"/>
    </xf>
    <xf numFmtId="0" fontId="31" fillId="0" borderId="30" xfId="2" applyFont="1" applyBorder="1" applyAlignment="1">
      <alignment horizontal="left" vertical="top"/>
    </xf>
    <xf numFmtId="170" fontId="32" fillId="0" borderId="30" xfId="2" applyNumberFormat="1" applyFont="1" applyBorder="1" applyAlignment="1">
      <alignment horizontal="right" vertical="top"/>
    </xf>
    <xf numFmtId="0" fontId="40" fillId="9" borderId="23" xfId="1" applyFont="1" applyFill="1" applyBorder="1" applyAlignment="1">
      <alignment horizontal="center" vertical="center"/>
    </xf>
    <xf numFmtId="0" fontId="40" fillId="9" borderId="24" xfId="1" applyFont="1" applyFill="1" applyBorder="1" applyAlignment="1">
      <alignment horizontal="center" vertical="center"/>
    </xf>
    <xf numFmtId="0" fontId="41" fillId="9" borderId="26" xfId="1" applyFont="1" applyFill="1" applyBorder="1" applyAlignment="1">
      <alignment horizontal="center" vertical="center"/>
    </xf>
    <xf numFmtId="0" fontId="41" fillId="9" borderId="27" xfId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45" fillId="11" borderId="0" xfId="0" applyFont="1" applyFill="1"/>
    <xf numFmtId="173" fontId="46" fillId="0" borderId="0" xfId="0" applyNumberFormat="1" applyFont="1" applyAlignment="1">
      <alignment horizontal="right" vertical="top" wrapText="1"/>
    </xf>
    <xf numFmtId="0" fontId="47" fillId="0" borderId="0" xfId="0" applyFont="1" applyAlignment="1">
      <alignment horizontal="left" vertical="top"/>
    </xf>
    <xf numFmtId="173" fontId="45" fillId="11" borderId="0" xfId="0" applyNumberFormat="1" applyFont="1" applyFill="1"/>
    <xf numFmtId="174" fontId="46" fillId="0" borderId="0" xfId="0" applyNumberFormat="1" applyFont="1" applyAlignment="1">
      <alignment horizontal="right" vertical="top" wrapText="1"/>
    </xf>
    <xf numFmtId="175" fontId="46" fillId="0" borderId="0" xfId="0" applyNumberFormat="1" applyFont="1" applyAlignment="1">
      <alignment horizontal="right" vertical="top" wrapText="1"/>
    </xf>
    <xf numFmtId="176" fontId="47" fillId="0" borderId="0" xfId="0" applyNumberFormat="1" applyFont="1" applyAlignment="1">
      <alignment horizontal="right" vertical="top" wrapText="1"/>
    </xf>
    <xf numFmtId="0" fontId="35" fillId="12" borderId="14" xfId="0" applyFont="1" applyFill="1" applyBorder="1" applyAlignment="1">
      <alignment horizontal="center" vertical="center"/>
    </xf>
    <xf numFmtId="0" fontId="36" fillId="12" borderId="18" xfId="0" applyFont="1" applyFill="1" applyBorder="1" applyAlignment="1">
      <alignment horizontal="center" vertical="center"/>
    </xf>
    <xf numFmtId="0" fontId="23" fillId="13" borderId="0" xfId="0" applyFont="1" applyFill="1"/>
    <xf numFmtId="0" fontId="23" fillId="13" borderId="0" xfId="0" applyFont="1" applyFill="1" applyAlignment="1">
      <alignment horizontal="center"/>
    </xf>
    <xf numFmtId="0" fontId="21" fillId="13" borderId="0" xfId="0" applyFont="1" applyFill="1"/>
    <xf numFmtId="170" fontId="9" fillId="0" borderId="14" xfId="0" applyNumberFormat="1" applyFont="1" applyBorder="1" applyAlignment="1">
      <alignment horizontal="right" vertical="top"/>
    </xf>
    <xf numFmtId="170" fontId="31" fillId="0" borderId="0" xfId="2" applyNumberFormat="1" applyFont="1" applyAlignment="1">
      <alignment horizontal="right" vertical="top"/>
    </xf>
    <xf numFmtId="0" fontId="33" fillId="0" borderId="33" xfId="2" applyFont="1" applyBorder="1" applyAlignment="1">
      <alignment horizontal="left" vertical="top"/>
    </xf>
    <xf numFmtId="170" fontId="33" fillId="0" borderId="33" xfId="2" applyNumberFormat="1" applyFont="1" applyBorder="1" applyAlignment="1">
      <alignment horizontal="right" vertical="top"/>
    </xf>
    <xf numFmtId="170" fontId="43" fillId="0" borderId="0" xfId="2" applyNumberFormat="1" applyFont="1" applyAlignment="1">
      <alignment horizontal="right" vertical="top"/>
    </xf>
    <xf numFmtId="0" fontId="9" fillId="0" borderId="33" xfId="0" applyFont="1" applyBorder="1" applyAlignment="1">
      <alignment horizontal="left" vertical="top"/>
    </xf>
    <xf numFmtId="170" fontId="48" fillId="0" borderId="0" xfId="2" applyNumberFormat="1" applyFont="1" applyAlignment="1">
      <alignment horizontal="left" vertical="top"/>
    </xf>
    <xf numFmtId="170" fontId="43" fillId="0" borderId="33" xfId="2" applyNumberFormat="1" applyFont="1" applyBorder="1" applyAlignment="1">
      <alignment horizontal="right" vertical="top"/>
    </xf>
    <xf numFmtId="170" fontId="9" fillId="0" borderId="0" xfId="0" applyNumberFormat="1" applyFont="1" applyAlignment="1">
      <alignment horizontal="center" vertical="center"/>
    </xf>
    <xf numFmtId="0" fontId="9" fillId="0" borderId="3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3" fillId="0" borderId="37" xfId="2" applyFont="1" applyBorder="1" applyAlignment="1">
      <alignment vertical="center" wrapText="1"/>
    </xf>
    <xf numFmtId="0" fontId="33" fillId="0" borderId="38" xfId="2" applyFont="1" applyBorder="1" applyAlignment="1">
      <alignment vertical="center" wrapText="1"/>
    </xf>
    <xf numFmtId="0" fontId="33" fillId="0" borderId="39" xfId="2" applyFont="1" applyBorder="1" applyAlignment="1">
      <alignment vertical="center"/>
    </xf>
    <xf numFmtId="0" fontId="33" fillId="0" borderId="38" xfId="2" applyFont="1" applyBorder="1" applyAlignment="1">
      <alignment vertical="center"/>
    </xf>
    <xf numFmtId="0" fontId="9" fillId="2" borderId="4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1" fontId="1" fillId="0" borderId="0" xfId="0" applyNumberFormat="1" applyFont="1" applyAlignment="1">
      <alignment horizontal="right" vertical="top"/>
    </xf>
    <xf numFmtId="177" fontId="9" fillId="2" borderId="40" xfId="0" applyNumberFormat="1" applyFont="1" applyFill="1" applyBorder="1" applyAlignment="1">
      <alignment horizontal="center"/>
    </xf>
    <xf numFmtId="171" fontId="48" fillId="0" borderId="0" xfId="2" applyNumberFormat="1" applyFont="1" applyAlignment="1">
      <alignment horizontal="right" vertical="top"/>
    </xf>
    <xf numFmtId="0" fontId="35" fillId="12" borderId="34" xfId="0" applyFont="1" applyFill="1" applyBorder="1" applyAlignment="1">
      <alignment horizontal="center" vertical="center"/>
    </xf>
    <xf numFmtId="0" fontId="35" fillId="12" borderId="35" xfId="0" applyFont="1" applyFill="1" applyBorder="1" applyAlignment="1">
      <alignment horizontal="center" vertical="center"/>
    </xf>
    <xf numFmtId="0" fontId="35" fillId="12" borderId="36" xfId="0" applyFont="1" applyFill="1" applyBorder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8" fillId="4" borderId="0" xfId="0" applyFont="1" applyFill="1"/>
    <xf numFmtId="0" fontId="12" fillId="0" borderId="0" xfId="0" applyFont="1"/>
    <xf numFmtId="0" fontId="10" fillId="3" borderId="0" xfId="0" applyFont="1" applyFill="1"/>
    <xf numFmtId="0" fontId="9" fillId="0" borderId="0" xfId="0" applyFont="1"/>
    <xf numFmtId="0" fontId="7" fillId="0" borderId="2" xfId="0" applyFont="1" applyBorder="1"/>
    <xf numFmtId="0" fontId="8" fillId="0" borderId="2" xfId="0" applyFont="1" applyBorder="1"/>
    <xf numFmtId="0" fontId="0" fillId="9" borderId="0" xfId="0" applyFill="1"/>
    <xf numFmtId="0" fontId="23" fillId="13" borderId="18" xfId="0" applyFont="1" applyFill="1" applyBorder="1" applyAlignment="1">
      <alignment horizontal="center"/>
    </xf>
    <xf numFmtId="0" fontId="8" fillId="9" borderId="18" xfId="0" applyFont="1" applyFill="1" applyBorder="1"/>
    <xf numFmtId="0" fontId="21" fillId="0" borderId="0" xfId="0" applyFont="1"/>
    <xf numFmtId="0" fontId="26" fillId="7" borderId="12" xfId="0" applyFont="1" applyFill="1" applyBorder="1"/>
    <xf numFmtId="0" fontId="8" fillId="0" borderId="12" xfId="0" applyFont="1" applyBorder="1"/>
    <xf numFmtId="0" fontId="22" fillId="0" borderId="15" xfId="0" applyFont="1" applyBorder="1"/>
    <xf numFmtId="0" fontId="8" fillId="0" borderId="15" xfId="0" applyFont="1" applyBorder="1"/>
    <xf numFmtId="0" fontId="1" fillId="2" borderId="16" xfId="0" applyFont="1" applyFill="1" applyBorder="1" applyAlignment="1">
      <alignment horizontal="center"/>
    </xf>
    <xf numFmtId="0" fontId="8" fillId="0" borderId="17" xfId="0" applyFont="1" applyBorder="1"/>
    <xf numFmtId="0" fontId="8" fillId="0" borderId="7" xfId="0" applyFont="1" applyBorder="1"/>
    <xf numFmtId="0" fontId="23" fillId="13" borderId="0" xfId="0" applyFont="1" applyFill="1"/>
    <xf numFmtId="0" fontId="10" fillId="9" borderId="23" xfId="1" applyFont="1" applyFill="1" applyBorder="1" applyAlignment="1">
      <alignment horizontal="center" vertical="center"/>
    </xf>
    <xf numFmtId="0" fontId="10" fillId="9" borderId="25" xfId="1" applyFont="1" applyFill="1" applyBorder="1" applyAlignment="1">
      <alignment horizontal="center" vertical="center"/>
    </xf>
    <xf numFmtId="0" fontId="39" fillId="9" borderId="23" xfId="1" applyFont="1" applyFill="1" applyBorder="1" applyAlignment="1">
      <alignment horizontal="center" vertical="center"/>
    </xf>
    <xf numFmtId="0" fontId="39" fillId="9" borderId="25" xfId="1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177" fontId="9" fillId="2" borderId="43" xfId="0" applyNumberFormat="1" applyFont="1" applyFill="1" applyBorder="1" applyAlignment="1">
      <alignment horizontal="center"/>
    </xf>
    <xf numFmtId="177" fontId="9" fillId="2" borderId="44" xfId="0" applyNumberFormat="1" applyFont="1" applyFill="1" applyBorder="1" applyAlignment="1">
      <alignment horizontal="center"/>
    </xf>
    <xf numFmtId="171" fontId="32" fillId="0" borderId="0" xfId="2" applyNumberFormat="1" applyFont="1" applyAlignment="1">
      <alignment horizontal="right" vertical="top"/>
    </xf>
    <xf numFmtId="171" fontId="1" fillId="0" borderId="45" xfId="0" applyNumberFormat="1" applyFont="1" applyBorder="1" applyAlignment="1">
      <alignment horizontal="right" vertical="top"/>
    </xf>
    <xf numFmtId="171" fontId="1" fillId="0" borderId="0" xfId="0" applyNumberFormat="1" applyFont="1" applyAlignment="1">
      <alignment horizontal="right" vertical="top"/>
    </xf>
    <xf numFmtId="172" fontId="32" fillId="0" borderId="45" xfId="2" applyNumberFormat="1" applyFont="1" applyBorder="1" applyAlignment="1">
      <alignment horizontal="right" vertical="top"/>
    </xf>
    <xf numFmtId="172" fontId="32" fillId="0" borderId="0" xfId="2" applyNumberFormat="1" applyFont="1" applyAlignment="1">
      <alignment horizontal="right" vertical="top"/>
    </xf>
    <xf numFmtId="0" fontId="39" fillId="9" borderId="24" xfId="1" applyFont="1" applyFill="1" applyBorder="1" applyAlignment="1">
      <alignment horizontal="center" vertical="center"/>
    </xf>
    <xf numFmtId="0" fontId="39" fillId="9" borderId="26" xfId="1" applyFont="1" applyFill="1" applyBorder="1" applyAlignment="1">
      <alignment horizontal="center" vertical="center"/>
    </xf>
    <xf numFmtId="0" fontId="39" fillId="9" borderId="27" xfId="1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171" fontId="32" fillId="0" borderId="45" xfId="2" applyNumberFormat="1" applyFont="1" applyBorder="1" applyAlignment="1">
      <alignment horizontal="right" vertical="top"/>
    </xf>
    <xf numFmtId="0" fontId="10" fillId="12" borderId="31" xfId="0" applyFont="1" applyFill="1" applyBorder="1" applyAlignment="1">
      <alignment horizontal="center" vertical="center"/>
    </xf>
    <xf numFmtId="0" fontId="10" fillId="12" borderId="32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3" xfId="2" xr:uid="{CA566678-261E-7F45-A7FC-707DCC7B6B34}"/>
    <cellStyle name="Normal 71" xfId="1" xr:uid="{A673B3E5-1F2E-434A-BAC6-DE0E8F778988}"/>
  </cellStyles>
  <dxfs count="14"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chat.io/company/NasdaqGS-SEDG/?statement=segments-and-kpis" TargetMode="External"/><Relationship Id="rId2" Type="http://schemas.openxmlformats.org/officeDocument/2006/relationships/hyperlink" Target="https://simplywall.st/" TargetMode="External"/><Relationship Id="rId1" Type="http://schemas.openxmlformats.org/officeDocument/2006/relationships/hyperlink" Target="https://app.koyfin.com/h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ages.stern.nyu.edu/~adamodar/New_Home_Page/datafile/ctryprem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CPtBJN3SAvs&amp;ab_channel=KenjiExpla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B2:W41"/>
  <sheetViews>
    <sheetView workbookViewId="0">
      <selection activeCell="C18" sqref="C18"/>
    </sheetView>
  </sheetViews>
  <sheetFormatPr baseColWidth="10" defaultColWidth="12.6640625" defaultRowHeight="15.75" customHeight="1"/>
  <cols>
    <col min="1" max="1" width="4" customWidth="1"/>
    <col min="2" max="2" width="33.5" bestFit="1" customWidth="1"/>
    <col min="3" max="3" width="25.83203125" customWidth="1"/>
    <col min="5" max="5" width="33.5" bestFit="1" customWidth="1"/>
    <col min="9" max="9" width="20.1640625" customWidth="1"/>
    <col min="19" max="19" width="14.6640625" customWidth="1"/>
    <col min="23" max="23" width="61.5" bestFit="1" customWidth="1"/>
  </cols>
  <sheetData>
    <row r="2" spans="2:23" ht="15.75" customHeight="1">
      <c r="B2" s="200" t="s">
        <v>431</v>
      </c>
      <c r="C2" s="201"/>
      <c r="D2" s="202" t="s">
        <v>432</v>
      </c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V2" s="200" t="s">
        <v>433</v>
      </c>
      <c r="W2" s="201"/>
    </row>
    <row r="3" spans="2:23" ht="15">
      <c r="B3" s="1" t="s">
        <v>0</v>
      </c>
      <c r="C3" s="2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V3" s="3" t="s">
        <v>4</v>
      </c>
      <c r="W3" s="4" t="s">
        <v>5</v>
      </c>
    </row>
    <row r="4" spans="2:23" ht="15">
      <c r="B4" s="1" t="s">
        <v>423</v>
      </c>
      <c r="C4" s="188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V4" s="3"/>
      <c r="W4" s="4"/>
    </row>
    <row r="5" spans="2:23" ht="15">
      <c r="B5" s="155" t="s">
        <v>436</v>
      </c>
      <c r="C5" s="188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V5" s="3" t="s">
        <v>7</v>
      </c>
      <c r="W5" s="4" t="s">
        <v>8</v>
      </c>
    </row>
    <row r="6" spans="2:23" ht="15">
      <c r="B6" s="155" t="s">
        <v>424</v>
      </c>
      <c r="C6" s="188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V6" s="3" t="s">
        <v>180</v>
      </c>
      <c r="W6" s="156" t="s">
        <v>181</v>
      </c>
    </row>
    <row r="7" spans="2:23" ht="15">
      <c r="B7" s="155" t="s">
        <v>425</v>
      </c>
      <c r="C7" s="188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2:23" ht="15">
      <c r="B8" s="155" t="s">
        <v>426</v>
      </c>
      <c r="C8" s="188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2:23" ht="15">
      <c r="B9" s="155" t="s">
        <v>427</v>
      </c>
      <c r="C9" s="188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2:23" ht="15">
      <c r="B10" s="155" t="s">
        <v>428</v>
      </c>
      <c r="C10" s="188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2:23" ht="15">
      <c r="B11" s="155" t="s">
        <v>429</v>
      </c>
      <c r="C11" s="188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2:23" ht="15">
      <c r="B12" s="155" t="s">
        <v>430</v>
      </c>
      <c r="C12" s="2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2:23" ht="13"/>
    <row r="14" spans="2:23" ht="15">
      <c r="B14" s="200" t="s">
        <v>435</v>
      </c>
      <c r="C14" s="201"/>
      <c r="E14" s="202" t="s">
        <v>1</v>
      </c>
      <c r="F14" s="203"/>
      <c r="G14" s="203"/>
    </row>
    <row r="15" spans="2:23" ht="15">
      <c r="B15" s="155" t="s">
        <v>434</v>
      </c>
      <c r="C15" s="2"/>
      <c r="D15" s="155"/>
      <c r="F15" s="3" t="s">
        <v>2</v>
      </c>
      <c r="G15" s="3" t="s">
        <v>3</v>
      </c>
    </row>
    <row r="16" spans="2:23" ht="15">
      <c r="B16" s="155" t="s">
        <v>422</v>
      </c>
      <c r="C16" s="2"/>
      <c r="E16" s="3" t="s">
        <v>6</v>
      </c>
      <c r="F16" s="2"/>
      <c r="H16" s="155" t="s">
        <v>439</v>
      </c>
    </row>
    <row r="17" spans="2:8" ht="15">
      <c r="B17" s="155" t="s">
        <v>95</v>
      </c>
      <c r="C17" s="2"/>
      <c r="E17" s="3" t="s">
        <v>9</v>
      </c>
      <c r="F17" s="2">
        <v>16</v>
      </c>
      <c r="H17" s="155" t="s">
        <v>439</v>
      </c>
    </row>
    <row r="18" spans="2:8" ht="15">
      <c r="B18" s="155" t="s">
        <v>146</v>
      </c>
      <c r="C18" s="2">
        <v>3184790000</v>
      </c>
      <c r="D18" s="155" t="s">
        <v>478</v>
      </c>
      <c r="E18" s="3" t="s">
        <v>10</v>
      </c>
      <c r="F18" s="2"/>
      <c r="H18" s="155" t="s">
        <v>439</v>
      </c>
    </row>
    <row r="19" spans="2:8" ht="15">
      <c r="B19" s="155" t="s">
        <v>477</v>
      </c>
      <c r="C19" s="2"/>
      <c r="D19" s="155" t="s">
        <v>439</v>
      </c>
      <c r="E19" s="3" t="s">
        <v>11</v>
      </c>
      <c r="F19" s="2"/>
      <c r="H19" s="155" t="s">
        <v>439</v>
      </c>
    </row>
    <row r="20" spans="2:8" ht="15">
      <c r="B20" s="155" t="s">
        <v>92</v>
      </c>
      <c r="C20" s="2"/>
      <c r="D20" s="155" t="s">
        <v>439</v>
      </c>
      <c r="E20" s="3" t="s">
        <v>12</v>
      </c>
      <c r="F20" s="2"/>
      <c r="H20" s="155" t="s">
        <v>439</v>
      </c>
    </row>
    <row r="21" spans="2:8" ht="15">
      <c r="B21" s="155" t="s">
        <v>437</v>
      </c>
      <c r="C21" s="2"/>
      <c r="D21" s="155" t="s">
        <v>439</v>
      </c>
      <c r="E21" s="3" t="s">
        <v>13</v>
      </c>
      <c r="F21" s="2"/>
      <c r="H21" s="155" t="s">
        <v>439</v>
      </c>
    </row>
    <row r="22" spans="2:8" ht="15">
      <c r="B22" s="155" t="s">
        <v>438</v>
      </c>
      <c r="C22" s="2"/>
      <c r="D22" s="155" t="s">
        <v>439</v>
      </c>
      <c r="E22" s="3" t="s">
        <v>14</v>
      </c>
      <c r="F22" s="2"/>
      <c r="H22" s="155" t="s">
        <v>439</v>
      </c>
    </row>
    <row r="23" spans="2:8" ht="15">
      <c r="E23" s="3" t="s">
        <v>15</v>
      </c>
      <c r="F23" s="2" t="b">
        <v>1</v>
      </c>
      <c r="H23" s="155" t="s">
        <v>439</v>
      </c>
    </row>
    <row r="24" spans="2:8" ht="15">
      <c r="E24" s="3" t="s">
        <v>16</v>
      </c>
      <c r="F24" s="2"/>
      <c r="H24" s="155" t="s">
        <v>439</v>
      </c>
    </row>
    <row r="25" spans="2:8" ht="15">
      <c r="E25" s="3" t="s">
        <v>17</v>
      </c>
      <c r="F25" s="2"/>
      <c r="H25" s="155" t="s">
        <v>439</v>
      </c>
    </row>
    <row r="26" spans="2:8" ht="15">
      <c r="E26" s="3" t="s">
        <v>18</v>
      </c>
      <c r="F26" s="2"/>
      <c r="H26" s="155" t="s">
        <v>439</v>
      </c>
    </row>
    <row r="27" spans="2:8" ht="15">
      <c r="E27" s="3" t="s">
        <v>19</v>
      </c>
      <c r="F27" s="7">
        <v>0.2</v>
      </c>
      <c r="H27" s="155" t="s">
        <v>439</v>
      </c>
    </row>
    <row r="28" spans="2:8" ht="15">
      <c r="E28" s="3" t="s">
        <v>20</v>
      </c>
      <c r="F28" s="2"/>
      <c r="H28" s="155" t="s">
        <v>439</v>
      </c>
    </row>
    <row r="29" spans="2:8" ht="15">
      <c r="E29" s="3" t="s">
        <v>21</v>
      </c>
      <c r="F29" s="7">
        <v>0.15</v>
      </c>
      <c r="H29" s="155" t="s">
        <v>439</v>
      </c>
    </row>
    <row r="30" spans="2:8" ht="15.75" customHeight="1">
      <c r="E30" s="3"/>
      <c r="F30" s="7"/>
      <c r="H30" s="155" t="s">
        <v>439</v>
      </c>
    </row>
    <row r="31" spans="2:8" ht="15.75" customHeight="1">
      <c r="E31" s="3"/>
      <c r="F31" s="7"/>
      <c r="H31" s="155" t="s">
        <v>439</v>
      </c>
    </row>
    <row r="32" spans="2:8" ht="15.75" customHeight="1">
      <c r="E32" s="3"/>
      <c r="F32" s="7"/>
      <c r="H32" s="155" t="s">
        <v>439</v>
      </c>
    </row>
    <row r="33" spans="5:8" ht="15.75" customHeight="1">
      <c r="E33" s="3" t="s">
        <v>22</v>
      </c>
      <c r="F33" s="2"/>
      <c r="H33" s="155" t="s">
        <v>439</v>
      </c>
    </row>
    <row r="34" spans="5:8" ht="15.75" customHeight="1">
      <c r="E34" s="3" t="s">
        <v>23</v>
      </c>
      <c r="F34" s="2"/>
      <c r="G34" s="4" t="s">
        <v>24</v>
      </c>
      <c r="H34" s="155" t="s">
        <v>439</v>
      </c>
    </row>
    <row r="35" spans="5:8" ht="15.75" customHeight="1">
      <c r="E35" s="3" t="s">
        <v>25</v>
      </c>
      <c r="F35" s="2"/>
      <c r="H35" s="155" t="s">
        <v>439</v>
      </c>
    </row>
    <row r="36" spans="5:8" ht="15.75" customHeight="1">
      <c r="E36" s="3" t="s">
        <v>26</v>
      </c>
      <c r="F36" s="2"/>
      <c r="H36" s="155" t="s">
        <v>439</v>
      </c>
    </row>
    <row r="37" spans="5:8" ht="15.75" customHeight="1">
      <c r="E37" s="3" t="s">
        <v>27</v>
      </c>
      <c r="F37" s="2"/>
      <c r="H37" s="155" t="s">
        <v>439</v>
      </c>
    </row>
    <row r="38" spans="5:8" ht="15.75" customHeight="1">
      <c r="E38" s="3" t="s">
        <v>28</v>
      </c>
      <c r="F38" s="2"/>
      <c r="H38" s="155" t="s">
        <v>439</v>
      </c>
    </row>
    <row r="39" spans="5:8" ht="15.75" customHeight="1">
      <c r="E39" s="3" t="s">
        <v>29</v>
      </c>
      <c r="F39" s="2"/>
      <c r="H39" s="155" t="s">
        <v>439</v>
      </c>
    </row>
    <row r="40" spans="5:8" ht="15.75" customHeight="1">
      <c r="E40" s="3" t="s">
        <v>30</v>
      </c>
      <c r="F40" s="2"/>
      <c r="H40" s="155" t="s">
        <v>439</v>
      </c>
    </row>
    <row r="41" spans="5:8" ht="15.75" customHeight="1">
      <c r="E41" s="3" t="s">
        <v>31</v>
      </c>
      <c r="F41" s="2"/>
      <c r="H41" s="155" t="s">
        <v>439</v>
      </c>
    </row>
  </sheetData>
  <mergeCells count="6">
    <mergeCell ref="V2:W2"/>
    <mergeCell ref="B2:C2"/>
    <mergeCell ref="D2:T2"/>
    <mergeCell ref="D3:T12"/>
    <mergeCell ref="B14:C14"/>
    <mergeCell ref="E14:G14"/>
  </mergeCells>
  <hyperlinks>
    <hyperlink ref="W3" r:id="rId1" xr:uid="{00000000-0004-0000-0000-000000000000}"/>
    <hyperlink ref="W5" r:id="rId2" xr:uid="{00000000-0004-0000-0000-000001000000}"/>
    <hyperlink ref="W6" r:id="rId3" xr:uid="{6FC18F58-9DCF-D344-9587-5676A0C94A8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C279-C091-A94C-B283-276290F6C98F}">
  <dimension ref="A2:H49"/>
  <sheetViews>
    <sheetView showGridLines="0" workbookViewId="0">
      <selection activeCell="K31" sqref="K31"/>
    </sheetView>
  </sheetViews>
  <sheetFormatPr baseColWidth="10" defaultRowHeight="13"/>
  <cols>
    <col min="1" max="1" width="2.83203125" customWidth="1"/>
    <col min="2" max="2" width="20.5" bestFit="1" customWidth="1"/>
    <col min="3" max="6" width="8.33203125" customWidth="1"/>
    <col min="7" max="8" width="16.6640625" customWidth="1"/>
  </cols>
  <sheetData>
    <row r="2" spans="2:8" ht="14" customHeight="1">
      <c r="B2" s="227" t="s">
        <v>440</v>
      </c>
      <c r="C2" s="238"/>
      <c r="D2" s="238"/>
      <c r="E2" s="238"/>
      <c r="F2" s="238"/>
      <c r="G2" s="238"/>
      <c r="H2" s="238"/>
    </row>
    <row r="3" spans="2:8" ht="13" customHeight="1">
      <c r="B3" s="239"/>
      <c r="C3" s="240"/>
      <c r="D3" s="240"/>
      <c r="E3" s="240"/>
      <c r="F3" s="240"/>
      <c r="G3" s="240"/>
      <c r="H3" s="240"/>
    </row>
    <row r="4" spans="2:8" ht="16" customHeight="1">
      <c r="B4" s="191" t="s">
        <v>441</v>
      </c>
      <c r="C4" s="241" t="s">
        <v>468</v>
      </c>
      <c r="D4" s="242"/>
      <c r="E4" s="241" t="s">
        <v>469</v>
      </c>
      <c r="F4" s="242"/>
      <c r="G4" s="196" t="s">
        <v>470</v>
      </c>
      <c r="H4" s="196" t="s">
        <v>471</v>
      </c>
    </row>
    <row r="5" spans="2:8" ht="15">
      <c r="B5" s="192"/>
      <c r="C5" s="196"/>
      <c r="D5" s="196"/>
      <c r="E5" s="196"/>
      <c r="F5" s="196"/>
      <c r="G5" s="196"/>
      <c r="H5" s="196"/>
    </row>
    <row r="6" spans="2:8" ht="15">
      <c r="B6" s="135" t="s">
        <v>446</v>
      </c>
      <c r="C6" s="236"/>
      <c r="D6" s="236"/>
      <c r="E6" s="236"/>
      <c r="F6" s="236"/>
      <c r="G6" s="148"/>
      <c r="H6" s="148"/>
    </row>
    <row r="7" spans="2:8" ht="15">
      <c r="B7" s="135" t="s">
        <v>445</v>
      </c>
      <c r="C7" s="233"/>
      <c r="D7" s="233"/>
      <c r="E7" s="233"/>
      <c r="F7" s="233"/>
      <c r="G7" s="147"/>
      <c r="H7" s="147"/>
    </row>
    <row r="8" spans="2:8" ht="15">
      <c r="B8" s="135" t="s">
        <v>444</v>
      </c>
      <c r="C8" s="233"/>
      <c r="D8" s="233"/>
      <c r="E8" s="233"/>
      <c r="F8" s="233"/>
      <c r="G8" s="147"/>
      <c r="H8" s="147"/>
    </row>
    <row r="9" spans="2:8" ht="15">
      <c r="B9" s="135" t="s">
        <v>443</v>
      </c>
      <c r="C9" s="233"/>
      <c r="D9" s="233"/>
      <c r="E9" s="233"/>
      <c r="F9" s="233"/>
      <c r="G9" s="147"/>
      <c r="H9" s="147"/>
    </row>
    <row r="10" spans="2:8" ht="15">
      <c r="B10" s="135" t="s">
        <v>442</v>
      </c>
      <c r="C10" s="233"/>
      <c r="D10" s="233"/>
      <c r="E10" s="233"/>
      <c r="F10" s="233"/>
      <c r="G10" s="147"/>
      <c r="H10" s="147"/>
    </row>
    <row r="11" spans="2:8" ht="15">
      <c r="B11" s="135"/>
      <c r="C11" s="136"/>
      <c r="D11" s="136"/>
      <c r="E11" s="136"/>
      <c r="F11" s="136"/>
      <c r="G11" s="136"/>
      <c r="H11" s="136"/>
    </row>
    <row r="12" spans="2:8" ht="15">
      <c r="B12" s="193" t="s">
        <v>447</v>
      </c>
      <c r="C12" s="229" t="s">
        <v>468</v>
      </c>
      <c r="D12" s="230"/>
      <c r="E12" s="229" t="s">
        <v>469</v>
      </c>
      <c r="F12" s="230"/>
      <c r="G12" s="195" t="s">
        <v>470</v>
      </c>
      <c r="H12" s="195" t="s">
        <v>471</v>
      </c>
    </row>
    <row r="13" spans="2:8" ht="15">
      <c r="B13" s="194"/>
      <c r="C13" s="196"/>
      <c r="D13" s="196"/>
      <c r="E13" s="196"/>
      <c r="F13" s="196"/>
      <c r="G13" s="196"/>
      <c r="H13" s="196"/>
    </row>
    <row r="14" spans="2:8" ht="15">
      <c r="B14" s="135" t="s">
        <v>446</v>
      </c>
      <c r="C14" s="236"/>
      <c r="D14" s="236"/>
      <c r="E14" s="236"/>
      <c r="F14" s="236"/>
      <c r="G14" s="148"/>
      <c r="H14" s="148"/>
    </row>
    <row r="15" spans="2:8" ht="15">
      <c r="B15" s="135" t="s">
        <v>445</v>
      </c>
      <c r="C15" s="237"/>
      <c r="D15" s="237"/>
      <c r="E15" s="237"/>
      <c r="F15" s="237"/>
      <c r="G15" s="148"/>
      <c r="H15" s="148"/>
    </row>
    <row r="16" spans="2:8" ht="15">
      <c r="B16" s="135" t="s">
        <v>444</v>
      </c>
      <c r="C16" s="237"/>
      <c r="D16" s="237"/>
      <c r="E16" s="237"/>
      <c r="F16" s="237"/>
      <c r="G16" s="148"/>
      <c r="H16" s="148"/>
    </row>
    <row r="17" spans="1:8" ht="15">
      <c r="B17" s="135" t="s">
        <v>443</v>
      </c>
      <c r="C17" s="237"/>
      <c r="D17" s="237"/>
      <c r="E17" s="237"/>
      <c r="F17" s="237"/>
      <c r="G17" s="148"/>
      <c r="H17" s="148"/>
    </row>
    <row r="18" spans="1:8" ht="15">
      <c r="B18" s="135" t="s">
        <v>448</v>
      </c>
      <c r="C18" s="237"/>
      <c r="D18" s="237"/>
      <c r="E18" s="237"/>
      <c r="F18" s="237"/>
      <c r="G18" s="148"/>
      <c r="H18" s="148"/>
    </row>
    <row r="19" spans="1:8" ht="15">
      <c r="B19" s="135" t="s">
        <v>449</v>
      </c>
      <c r="C19" s="237"/>
      <c r="D19" s="237"/>
      <c r="E19" s="237"/>
      <c r="F19" s="237"/>
      <c r="G19" s="148"/>
      <c r="H19" s="148"/>
    </row>
    <row r="20" spans="1:8" ht="15">
      <c r="C20" s="136"/>
      <c r="D20" s="136"/>
      <c r="E20" s="136"/>
      <c r="F20" s="136"/>
      <c r="G20" s="136"/>
      <c r="H20" s="136"/>
    </row>
    <row r="21" spans="1:8" ht="15">
      <c r="B21" s="137" t="s">
        <v>450</v>
      </c>
      <c r="C21" s="229"/>
      <c r="D21" s="230"/>
      <c r="E21" s="229"/>
      <c r="F21" s="230"/>
      <c r="G21" s="195"/>
      <c r="H21" s="195"/>
    </row>
    <row r="22" spans="1:8" ht="15">
      <c r="B22" s="135" t="s">
        <v>451</v>
      </c>
      <c r="C22" s="243"/>
      <c r="D22" s="243"/>
      <c r="E22" s="243"/>
      <c r="F22" s="243"/>
      <c r="G22" s="147"/>
      <c r="H22" s="147"/>
    </row>
    <row r="23" spans="1:8" ht="15">
      <c r="B23" s="135" t="s">
        <v>452</v>
      </c>
      <c r="C23" s="233"/>
      <c r="D23" s="233"/>
      <c r="E23" s="233"/>
      <c r="F23" s="233"/>
      <c r="G23" s="147"/>
      <c r="H23" s="147"/>
    </row>
    <row r="24" spans="1:8" ht="15">
      <c r="B24" s="135" t="s">
        <v>453</v>
      </c>
      <c r="C24" s="233"/>
      <c r="D24" s="233"/>
      <c r="E24" s="233"/>
      <c r="F24" s="233"/>
      <c r="G24" s="147"/>
      <c r="H24" s="147"/>
    </row>
    <row r="25" spans="1:8" ht="15">
      <c r="B25" s="135" t="s">
        <v>454</v>
      </c>
      <c r="C25" s="233"/>
      <c r="D25" s="233"/>
      <c r="E25" s="233"/>
      <c r="F25" s="233"/>
      <c r="G25" s="147"/>
      <c r="H25" s="147"/>
    </row>
    <row r="26" spans="1:8" ht="15">
      <c r="B26" s="135" t="s">
        <v>455</v>
      </c>
      <c r="C26" s="233"/>
      <c r="D26" s="233"/>
      <c r="E26" s="233"/>
      <c r="F26" s="233"/>
      <c r="G26" s="199"/>
      <c r="H26" s="199"/>
    </row>
    <row r="27" spans="1:8" ht="15">
      <c r="B27" s="135" t="s">
        <v>456</v>
      </c>
      <c r="C27" s="233"/>
      <c r="D27" s="233"/>
      <c r="E27" s="233"/>
      <c r="F27" s="233"/>
      <c r="G27" s="199"/>
      <c r="H27" s="199"/>
    </row>
    <row r="28" spans="1:8" ht="15">
      <c r="A28" s="155"/>
      <c r="C28" s="186"/>
      <c r="D28" s="186"/>
      <c r="E28" s="186"/>
      <c r="F28" s="186"/>
      <c r="G28" s="186"/>
      <c r="H28" s="186"/>
    </row>
    <row r="29" spans="1:8" ht="15">
      <c r="A29" s="155"/>
      <c r="B29" s="189" t="s">
        <v>467</v>
      </c>
      <c r="C29" s="229" t="s">
        <v>468</v>
      </c>
      <c r="D29" s="230"/>
      <c r="E29" s="229" t="s">
        <v>469</v>
      </c>
      <c r="F29" s="230"/>
      <c r="G29" s="195" t="s">
        <v>470</v>
      </c>
      <c r="H29" s="195" t="s">
        <v>471</v>
      </c>
    </row>
    <row r="30" spans="1:8" ht="15">
      <c r="A30" s="155"/>
      <c r="B30" s="190"/>
      <c r="C30" s="196"/>
      <c r="D30" s="196"/>
      <c r="E30" s="196"/>
      <c r="F30" s="196"/>
      <c r="G30" s="196"/>
      <c r="H30" s="196"/>
    </row>
    <row r="31" spans="1:8" ht="15">
      <c r="A31" s="155"/>
      <c r="B31" s="153" t="s">
        <v>472</v>
      </c>
      <c r="C31" s="234"/>
      <c r="D31" s="234"/>
      <c r="E31" s="234"/>
      <c r="F31" s="234"/>
      <c r="G31" s="197"/>
      <c r="H31" s="197"/>
    </row>
    <row r="32" spans="1:8" ht="15">
      <c r="A32" s="155"/>
      <c r="B32" s="153" t="s">
        <v>473</v>
      </c>
      <c r="C32" s="233"/>
      <c r="D32" s="233"/>
      <c r="E32" s="233"/>
      <c r="F32" s="233"/>
      <c r="G32" s="197"/>
      <c r="H32" s="197"/>
    </row>
    <row r="33" spans="1:8" ht="15">
      <c r="A33" s="155"/>
      <c r="B33" s="153" t="s">
        <v>474</v>
      </c>
      <c r="C33" s="233"/>
      <c r="D33" s="233"/>
      <c r="E33" s="233"/>
      <c r="F33" s="233"/>
      <c r="G33" s="197"/>
      <c r="H33" s="197"/>
    </row>
    <row r="34" spans="1:8" ht="15">
      <c r="A34" s="155"/>
      <c r="B34" s="153" t="s">
        <v>475</v>
      </c>
      <c r="C34" s="233"/>
      <c r="D34" s="233"/>
      <c r="E34" s="233"/>
      <c r="F34" s="233"/>
      <c r="G34" s="197"/>
      <c r="H34" s="197"/>
    </row>
    <row r="35" spans="1:8" ht="15">
      <c r="A35" s="155"/>
      <c r="B35" s="153" t="s">
        <v>476</v>
      </c>
      <c r="C35" s="233"/>
      <c r="D35" s="233"/>
      <c r="E35" s="233"/>
      <c r="F35" s="233"/>
      <c r="G35" s="197"/>
      <c r="H35" s="197"/>
    </row>
    <row r="36" spans="1:8" ht="15">
      <c r="B36" s="135"/>
      <c r="C36" s="186"/>
      <c r="D36" s="186"/>
      <c r="E36" s="186"/>
      <c r="F36" s="186"/>
      <c r="G36" s="186"/>
      <c r="H36" s="186"/>
    </row>
    <row r="37" spans="1:8" ht="15">
      <c r="A37" s="155"/>
      <c r="B37" s="185" t="s">
        <v>457</v>
      </c>
      <c r="C37" s="231"/>
      <c r="D37" s="232"/>
      <c r="E37" s="231"/>
      <c r="F37" s="232"/>
      <c r="G37" s="198"/>
      <c r="H37" s="198"/>
    </row>
    <row r="38" spans="1:8" ht="15">
      <c r="B38" s="135" t="s">
        <v>458</v>
      </c>
      <c r="C38" s="243"/>
      <c r="D38" s="243"/>
      <c r="E38" s="243"/>
      <c r="F38" s="243"/>
      <c r="G38" s="147"/>
      <c r="H38" s="147"/>
    </row>
    <row r="39" spans="1:8" ht="15">
      <c r="B39" s="135" t="s">
        <v>459</v>
      </c>
      <c r="C39" s="233"/>
      <c r="D39" s="233"/>
      <c r="E39" s="233"/>
      <c r="F39" s="233"/>
      <c r="G39" s="147"/>
      <c r="H39" s="147"/>
    </row>
    <row r="40" spans="1:8" ht="15">
      <c r="B40" s="135" t="s">
        <v>460</v>
      </c>
      <c r="C40" s="233"/>
      <c r="D40" s="233"/>
      <c r="E40" s="233"/>
      <c r="F40" s="233"/>
      <c r="G40" s="147"/>
      <c r="H40" s="147"/>
    </row>
    <row r="41" spans="1:8" ht="15">
      <c r="B41" s="135" t="s">
        <v>461</v>
      </c>
      <c r="C41" s="233"/>
      <c r="D41" s="233"/>
      <c r="E41" s="233"/>
      <c r="F41" s="233"/>
      <c r="G41" s="147"/>
      <c r="H41" s="147"/>
    </row>
    <row r="42" spans="1:8" ht="15">
      <c r="B42" s="135"/>
      <c r="C42" s="136"/>
      <c r="D42" s="136"/>
      <c r="E42" s="136"/>
      <c r="F42" s="136"/>
      <c r="G42" s="136"/>
      <c r="H42" s="136"/>
    </row>
    <row r="43" spans="1:8" ht="15">
      <c r="A43" s="155"/>
      <c r="B43" s="189" t="s">
        <v>462</v>
      </c>
      <c r="C43" s="229" t="s">
        <v>468</v>
      </c>
      <c r="D43" s="230"/>
      <c r="E43" s="229" t="s">
        <v>469</v>
      </c>
      <c r="F43" s="230"/>
      <c r="G43" s="195" t="s">
        <v>470</v>
      </c>
      <c r="H43" s="195" t="s">
        <v>471</v>
      </c>
    </row>
    <row r="44" spans="1:8" ht="15">
      <c r="A44" s="155"/>
      <c r="B44" s="190"/>
      <c r="C44" s="196"/>
      <c r="D44" s="196"/>
      <c r="E44" s="196"/>
      <c r="F44" s="196"/>
      <c r="G44" s="196"/>
      <c r="H44" s="196"/>
    </row>
    <row r="45" spans="1:8" ht="15">
      <c r="A45" s="155"/>
      <c r="B45" s="153" t="s">
        <v>463</v>
      </c>
      <c r="C45" s="234"/>
      <c r="D45" s="234"/>
      <c r="E45" s="234"/>
      <c r="F45" s="234"/>
      <c r="G45" s="197"/>
      <c r="H45" s="197"/>
    </row>
    <row r="46" spans="1:8" ht="15">
      <c r="A46" s="155"/>
      <c r="B46" s="153" t="s">
        <v>464</v>
      </c>
      <c r="C46" s="235"/>
      <c r="D46" s="235"/>
      <c r="E46" s="235"/>
      <c r="F46" s="235"/>
      <c r="G46" s="197"/>
      <c r="H46" s="197"/>
    </row>
    <row r="47" spans="1:8" ht="15">
      <c r="A47" s="155"/>
      <c r="B47" s="153" t="s">
        <v>465</v>
      </c>
      <c r="C47" s="235"/>
      <c r="D47" s="235"/>
      <c r="E47" s="235"/>
      <c r="F47" s="235"/>
      <c r="G47" s="197"/>
      <c r="H47" s="197"/>
    </row>
    <row r="48" spans="1:8" ht="15">
      <c r="A48" s="155"/>
      <c r="B48" s="153" t="s">
        <v>466</v>
      </c>
      <c r="C48" s="235"/>
      <c r="D48" s="235"/>
      <c r="E48" s="235"/>
      <c r="F48" s="235"/>
      <c r="G48" s="197"/>
      <c r="H48" s="197"/>
    </row>
    <row r="49" spans="3:8" ht="15">
      <c r="C49" s="136"/>
      <c r="D49" s="136"/>
      <c r="E49" s="136"/>
      <c r="F49" s="136"/>
      <c r="G49" s="136"/>
      <c r="H49" s="136"/>
    </row>
  </sheetData>
  <mergeCells count="73">
    <mergeCell ref="C23:D23"/>
    <mergeCell ref="C22:D22"/>
    <mergeCell ref="E22:F22"/>
    <mergeCell ref="C41:D41"/>
    <mergeCell ref="C38:D38"/>
    <mergeCell ref="E38:F38"/>
    <mergeCell ref="E39:F39"/>
    <mergeCell ref="E40:F40"/>
    <mergeCell ref="E41:F41"/>
    <mergeCell ref="C26:D26"/>
    <mergeCell ref="E26:F26"/>
    <mergeCell ref="C27:D27"/>
    <mergeCell ref="E27:F27"/>
    <mergeCell ref="E23:F23"/>
    <mergeCell ref="C24:D24"/>
    <mergeCell ref="E24:F24"/>
    <mergeCell ref="C40:D40"/>
    <mergeCell ref="C31:D31"/>
    <mergeCell ref="E31:F31"/>
    <mergeCell ref="C32:D32"/>
    <mergeCell ref="C33:D33"/>
    <mergeCell ref="C34:D34"/>
    <mergeCell ref="C35:D35"/>
    <mergeCell ref="E35:F35"/>
    <mergeCell ref="E34:F34"/>
    <mergeCell ref="E33:F33"/>
    <mergeCell ref="E32:F32"/>
    <mergeCell ref="E25:F25"/>
    <mergeCell ref="C25:D25"/>
    <mergeCell ref="B2:H3"/>
    <mergeCell ref="C4:D4"/>
    <mergeCell ref="E4:F4"/>
    <mergeCell ref="C12:D12"/>
    <mergeCell ref="E12:F12"/>
    <mergeCell ref="C6:D6"/>
    <mergeCell ref="C7:D7"/>
    <mergeCell ref="C8:D8"/>
    <mergeCell ref="C9:D9"/>
    <mergeCell ref="C10:D10"/>
    <mergeCell ref="E6:F6"/>
    <mergeCell ref="E7:F7"/>
    <mergeCell ref="E8:F8"/>
    <mergeCell ref="E9:F9"/>
    <mergeCell ref="E10:F10"/>
    <mergeCell ref="C21:D21"/>
    <mergeCell ref="E21:F21"/>
    <mergeCell ref="C14:D14"/>
    <mergeCell ref="C15:D15"/>
    <mergeCell ref="C16:D16"/>
    <mergeCell ref="C17:D17"/>
    <mergeCell ref="C18:D18"/>
    <mergeCell ref="C19:D19"/>
    <mergeCell ref="E19:F19"/>
    <mergeCell ref="E18:F18"/>
    <mergeCell ref="E17:F17"/>
    <mergeCell ref="E16:F16"/>
    <mergeCell ref="E15:F15"/>
    <mergeCell ref="E14:F14"/>
    <mergeCell ref="C45:D45"/>
    <mergeCell ref="C46:D46"/>
    <mergeCell ref="C47:D47"/>
    <mergeCell ref="C48:D48"/>
    <mergeCell ref="E45:F45"/>
    <mergeCell ref="E46:F46"/>
    <mergeCell ref="E47:F47"/>
    <mergeCell ref="E48:F48"/>
    <mergeCell ref="C43:D43"/>
    <mergeCell ref="E43:F43"/>
    <mergeCell ref="C29:D29"/>
    <mergeCell ref="E29:F29"/>
    <mergeCell ref="C37:D37"/>
    <mergeCell ref="E37:F37"/>
    <mergeCell ref="C39:D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8D03-1BB5-B745-9DC6-FDA2F464E650}">
  <sheetPr codeName="Sheet10"/>
  <dimension ref="B2:O47"/>
  <sheetViews>
    <sheetView showGridLines="0" workbookViewId="0">
      <selection activeCell="B2" sqref="B2:O3"/>
    </sheetView>
  </sheetViews>
  <sheetFormatPr baseColWidth="10" defaultRowHeight="13"/>
  <cols>
    <col min="1" max="1" width="4" customWidth="1"/>
    <col min="2" max="2" width="25.83203125" bestFit="1" customWidth="1"/>
  </cols>
  <sheetData>
    <row r="2" spans="2:15" ht="15">
      <c r="B2" s="244" t="s">
        <v>224</v>
      </c>
      <c r="C2" s="175" t="s">
        <v>183</v>
      </c>
      <c r="D2" s="175" t="s">
        <v>184</v>
      </c>
      <c r="E2" s="175" t="s">
        <v>185</v>
      </c>
      <c r="F2" s="175" t="s">
        <v>186</v>
      </c>
      <c r="G2" s="175" t="s">
        <v>187</v>
      </c>
      <c r="H2" s="175" t="s">
        <v>188</v>
      </c>
      <c r="I2" s="175" t="s">
        <v>189</v>
      </c>
      <c r="J2" s="175" t="s">
        <v>190</v>
      </c>
      <c r="K2" s="175" t="s">
        <v>191</v>
      </c>
      <c r="L2" s="175" t="s">
        <v>192</v>
      </c>
      <c r="M2" s="175" t="s">
        <v>193</v>
      </c>
      <c r="N2" s="175" t="s">
        <v>94</v>
      </c>
      <c r="O2" s="175" t="s">
        <v>140</v>
      </c>
    </row>
    <row r="3" spans="2:15" ht="14">
      <c r="B3" s="245"/>
      <c r="C3" s="176">
        <v>40446</v>
      </c>
      <c r="D3" s="176">
        <v>40810</v>
      </c>
      <c r="E3" s="176">
        <v>41181</v>
      </c>
      <c r="F3" s="176">
        <v>41545</v>
      </c>
      <c r="G3" s="176">
        <v>41909</v>
      </c>
      <c r="H3" s="176">
        <v>42273</v>
      </c>
      <c r="I3" s="176">
        <v>42637</v>
      </c>
      <c r="J3" s="176">
        <v>43008</v>
      </c>
      <c r="K3" s="176">
        <v>43372</v>
      </c>
      <c r="L3" s="176">
        <v>43736</v>
      </c>
      <c r="M3" s="176">
        <v>44100</v>
      </c>
      <c r="N3" s="176"/>
      <c r="O3" s="176"/>
    </row>
    <row r="4" spans="2:15" ht="15">
      <c r="B4" s="167" t="s">
        <v>225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68"/>
      <c r="O4" s="168"/>
    </row>
    <row r="5" spans="2:15" ht="15">
      <c r="B5" s="153" t="s">
        <v>226</v>
      </c>
      <c r="C5" s="169">
        <v>0.22800000000000001</v>
      </c>
      <c r="D5" s="169">
        <v>0.27100000000000002</v>
      </c>
      <c r="E5" s="169">
        <v>0.28499999999999998</v>
      </c>
      <c r="F5" s="169">
        <v>0.193</v>
      </c>
      <c r="G5" s="169">
        <v>0.18</v>
      </c>
      <c r="H5" s="169">
        <v>0.20499999999999999</v>
      </c>
      <c r="I5" s="169">
        <v>0.14899999999999999</v>
      </c>
      <c r="J5" s="169">
        <v>0.13900000000000001</v>
      </c>
      <c r="K5" s="169">
        <v>0.161</v>
      </c>
      <c r="L5" s="169">
        <v>0.157</v>
      </c>
      <c r="M5" s="169">
        <v>0.17299999999999999</v>
      </c>
      <c r="N5" s="168"/>
      <c r="O5" s="168"/>
    </row>
    <row r="6" spans="2:15" ht="15">
      <c r="B6" s="153" t="s">
        <v>227</v>
      </c>
      <c r="C6" s="169">
        <v>0.35299999999999998</v>
      </c>
      <c r="D6" s="169">
        <v>0.41699999999999998</v>
      </c>
      <c r="E6" s="169">
        <v>0.42799999999999999</v>
      </c>
      <c r="F6" s="169">
        <v>0.28699999999999998</v>
      </c>
      <c r="G6" s="169">
        <v>0.27700000000000002</v>
      </c>
      <c r="H6" s="169">
        <v>0.32600000000000001</v>
      </c>
      <c r="I6" s="169">
        <v>0.23400000000000001</v>
      </c>
      <c r="J6" s="169">
        <v>0.215</v>
      </c>
      <c r="K6" s="169">
        <v>0.26400000000000001</v>
      </c>
      <c r="L6" s="169">
        <v>0.27700000000000002</v>
      </c>
      <c r="M6" s="169">
        <v>0.31</v>
      </c>
      <c r="N6" s="168"/>
      <c r="O6" s="168"/>
    </row>
    <row r="7" spans="2:15" ht="15">
      <c r="B7" s="153" t="s">
        <v>228</v>
      </c>
      <c r="C7" s="169">
        <v>0.35299999999999998</v>
      </c>
      <c r="D7" s="169">
        <v>0.41699999999999998</v>
      </c>
      <c r="E7" s="169">
        <v>0.42799999999999999</v>
      </c>
      <c r="F7" s="169">
        <v>0.30599999999999999</v>
      </c>
      <c r="G7" s="169">
        <v>0.33600000000000002</v>
      </c>
      <c r="H7" s="169">
        <v>0.46200000000000002</v>
      </c>
      <c r="I7" s="169">
        <v>0.36899999999999999</v>
      </c>
      <c r="J7" s="169">
        <v>0.36899999999999999</v>
      </c>
      <c r="K7" s="169">
        <v>0.49399999999999999</v>
      </c>
      <c r="L7" s="169">
        <v>0.55900000000000005</v>
      </c>
      <c r="M7" s="169">
        <v>0.73699999999999999</v>
      </c>
      <c r="N7" s="168"/>
      <c r="O7" s="168"/>
    </row>
    <row r="8" spans="2:15" ht="15">
      <c r="B8" s="153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68"/>
      <c r="O8" s="168"/>
    </row>
    <row r="9" spans="2:15" ht="15">
      <c r="B9" s="167" t="s">
        <v>229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68"/>
      <c r="O9" s="168"/>
    </row>
    <row r="10" spans="2:15" ht="15">
      <c r="B10" s="153" t="s">
        <v>230</v>
      </c>
      <c r="C10" s="169">
        <v>0.39400000000000002</v>
      </c>
      <c r="D10" s="169">
        <v>0.40500000000000003</v>
      </c>
      <c r="E10" s="169">
        <v>0.439</v>
      </c>
      <c r="F10" s="169">
        <v>0.376</v>
      </c>
      <c r="G10" s="169">
        <v>0.38600000000000001</v>
      </c>
      <c r="H10" s="169">
        <v>0.40100000000000002</v>
      </c>
      <c r="I10" s="169">
        <v>0.39100000000000001</v>
      </c>
      <c r="J10" s="169">
        <v>0.38500000000000001</v>
      </c>
      <c r="K10" s="169">
        <v>0.38300000000000001</v>
      </c>
      <c r="L10" s="169">
        <v>0.378</v>
      </c>
      <c r="M10" s="169">
        <v>0.38200000000000001</v>
      </c>
      <c r="N10" s="171">
        <v>0.39300000000000002</v>
      </c>
      <c r="O10" s="171">
        <v>0.38600000000000001</v>
      </c>
    </row>
    <row r="11" spans="2:15" ht="16">
      <c r="B11" s="153" t="s">
        <v>231</v>
      </c>
      <c r="C11" s="169" t="s">
        <v>214</v>
      </c>
      <c r="D11" s="169" t="s">
        <v>214</v>
      </c>
      <c r="E11" s="169" t="s">
        <v>214</v>
      </c>
      <c r="F11" s="169" t="s">
        <v>214</v>
      </c>
      <c r="G11" s="169" t="s">
        <v>214</v>
      </c>
      <c r="H11" s="169" t="s">
        <v>214</v>
      </c>
      <c r="I11" s="169" t="s">
        <v>214</v>
      </c>
      <c r="J11" s="169" t="s">
        <v>214</v>
      </c>
      <c r="K11" s="169" t="s">
        <v>214</v>
      </c>
      <c r="L11" s="169" t="s">
        <v>214</v>
      </c>
      <c r="M11" s="169" t="s">
        <v>214</v>
      </c>
      <c r="N11" s="168"/>
      <c r="O11" s="168"/>
    </row>
    <row r="12" spans="2:15" ht="15">
      <c r="B12" s="153" t="s">
        <v>232</v>
      </c>
      <c r="C12" s="169">
        <v>0.29799999999999999</v>
      </c>
      <c r="D12" s="169">
        <v>0.32900000000000001</v>
      </c>
      <c r="E12" s="169">
        <v>0.374</v>
      </c>
      <c r="F12" s="169">
        <v>0.32600000000000001</v>
      </c>
      <c r="G12" s="169">
        <v>0.33100000000000002</v>
      </c>
      <c r="H12" s="169">
        <v>0.35299999999999998</v>
      </c>
      <c r="I12" s="169">
        <v>0.32700000000000001</v>
      </c>
      <c r="J12" s="169">
        <v>0.312</v>
      </c>
      <c r="K12" s="169">
        <v>0.308</v>
      </c>
      <c r="L12" s="169">
        <v>0.29399999999999998</v>
      </c>
      <c r="M12" s="169">
        <v>0.28699999999999998</v>
      </c>
      <c r="N12" s="171">
        <v>0.32200000000000001</v>
      </c>
      <c r="O12" s="171">
        <v>0.32600000000000001</v>
      </c>
    </row>
    <row r="13" spans="2:15" ht="15">
      <c r="B13" s="153" t="s">
        <v>233</v>
      </c>
      <c r="C13" s="169">
        <v>0.28199999999999997</v>
      </c>
      <c r="D13" s="169">
        <v>0.312</v>
      </c>
      <c r="E13" s="169">
        <v>0.35299999999999998</v>
      </c>
      <c r="F13" s="169">
        <v>0.28699999999999998</v>
      </c>
      <c r="G13" s="169">
        <v>0.28699999999999998</v>
      </c>
      <c r="H13" s="169">
        <v>0.30499999999999999</v>
      </c>
      <c r="I13" s="169">
        <v>0.27800000000000002</v>
      </c>
      <c r="J13" s="169">
        <v>0.26800000000000002</v>
      </c>
      <c r="K13" s="169">
        <v>0.26700000000000002</v>
      </c>
      <c r="L13" s="169">
        <v>0.246</v>
      </c>
      <c r="M13" s="169">
        <v>0.24099999999999999</v>
      </c>
      <c r="N13" s="171">
        <v>0.28399999999999997</v>
      </c>
      <c r="O13" s="171">
        <v>0.28199999999999997</v>
      </c>
    </row>
    <row r="14" spans="2:15" ht="15">
      <c r="B14" s="153" t="s">
        <v>234</v>
      </c>
      <c r="C14" s="169">
        <v>0.28199999999999997</v>
      </c>
      <c r="D14" s="169">
        <v>0.312</v>
      </c>
      <c r="E14" s="169">
        <v>0.35299999999999998</v>
      </c>
      <c r="F14" s="169">
        <v>0.28699999999999998</v>
      </c>
      <c r="G14" s="169">
        <v>0.28699999999999998</v>
      </c>
      <c r="H14" s="169">
        <v>0.30499999999999999</v>
      </c>
      <c r="I14" s="169">
        <v>0.27800000000000002</v>
      </c>
      <c r="J14" s="169">
        <v>0.26800000000000002</v>
      </c>
      <c r="K14" s="169">
        <v>0.26700000000000002</v>
      </c>
      <c r="L14" s="169">
        <v>0.246</v>
      </c>
      <c r="M14" s="169">
        <v>0.24099999999999999</v>
      </c>
      <c r="N14" s="168"/>
      <c r="O14" s="168"/>
    </row>
    <row r="15" spans="2:15" ht="15">
      <c r="B15" s="153" t="s">
        <v>235</v>
      </c>
      <c r="C15" s="169">
        <v>0.215</v>
      </c>
      <c r="D15" s="169">
        <v>0.23899999999999999</v>
      </c>
      <c r="E15" s="169">
        <v>0.26700000000000002</v>
      </c>
      <c r="F15" s="169">
        <v>0.217</v>
      </c>
      <c r="G15" s="169">
        <v>0.216</v>
      </c>
      <c r="H15" s="169">
        <v>0.22800000000000001</v>
      </c>
      <c r="I15" s="169">
        <v>0.21199999999999999</v>
      </c>
      <c r="J15" s="169">
        <v>0.21099999999999999</v>
      </c>
      <c r="K15" s="169">
        <v>0.224</v>
      </c>
      <c r="L15" s="169">
        <v>0.21199999999999999</v>
      </c>
      <c r="M15" s="169">
        <v>0.20899999999999999</v>
      </c>
      <c r="N15" s="171">
        <v>0.223</v>
      </c>
      <c r="O15" s="171">
        <v>0.216</v>
      </c>
    </row>
    <row r="16" spans="2:15" ht="15">
      <c r="B16" s="153" t="s">
        <v>236</v>
      </c>
      <c r="C16" s="169">
        <v>0.215</v>
      </c>
      <c r="D16" s="169">
        <v>0.23899999999999999</v>
      </c>
      <c r="E16" s="169">
        <v>0.26700000000000002</v>
      </c>
      <c r="F16" s="169">
        <v>0.217</v>
      </c>
      <c r="G16" s="169">
        <v>0.217</v>
      </c>
      <c r="H16" s="169">
        <v>0.22900000000000001</v>
      </c>
      <c r="I16" s="169">
        <v>0.21</v>
      </c>
      <c r="J16" s="169">
        <v>0.20899999999999999</v>
      </c>
      <c r="K16" s="169">
        <v>0.223</v>
      </c>
      <c r="L16" s="169">
        <v>0.21199999999999999</v>
      </c>
      <c r="M16" s="169">
        <v>0.20899999999999999</v>
      </c>
      <c r="N16" s="168"/>
      <c r="O16" s="168"/>
    </row>
    <row r="17" spans="2:15" ht="15">
      <c r="B17" s="153" t="s">
        <v>237</v>
      </c>
      <c r="C17" s="169">
        <v>0.254</v>
      </c>
      <c r="D17" s="169">
        <v>0.307</v>
      </c>
      <c r="E17" s="169">
        <v>0.27200000000000002</v>
      </c>
      <c r="F17" s="169">
        <v>0.26600000000000001</v>
      </c>
      <c r="G17" s="169">
        <v>0.27400000000000002</v>
      </c>
      <c r="H17" s="169">
        <v>0.3</v>
      </c>
      <c r="I17" s="169">
        <v>0.248</v>
      </c>
      <c r="J17" s="169">
        <v>0.22600000000000001</v>
      </c>
      <c r="K17" s="169">
        <v>0.24099999999999999</v>
      </c>
      <c r="L17" s="169">
        <v>0.22600000000000001</v>
      </c>
      <c r="M17" s="169">
        <v>0.26700000000000002</v>
      </c>
      <c r="N17" s="171">
        <v>0.26200000000000001</v>
      </c>
      <c r="O17" s="171">
        <v>0.26600000000000001</v>
      </c>
    </row>
    <row r="18" spans="2:15" ht="15">
      <c r="B18" s="153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68"/>
      <c r="O18" s="168"/>
    </row>
    <row r="19" spans="2:15" ht="15">
      <c r="B19" s="167" t="s">
        <v>238</v>
      </c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68"/>
      <c r="O19" s="168"/>
    </row>
    <row r="20" spans="2:15" ht="16">
      <c r="B20" s="153" t="s">
        <v>239</v>
      </c>
      <c r="C20" s="172" t="s">
        <v>240</v>
      </c>
      <c r="D20" s="172" t="s">
        <v>240</v>
      </c>
      <c r="E20" s="172" t="s">
        <v>240</v>
      </c>
      <c r="F20" s="172" t="s">
        <v>241</v>
      </c>
      <c r="G20" s="172" t="s">
        <v>242</v>
      </c>
      <c r="H20" s="172" t="s">
        <v>241</v>
      </c>
      <c r="I20" s="172" t="s">
        <v>243</v>
      </c>
      <c r="J20" s="172" t="s">
        <v>243</v>
      </c>
      <c r="K20" s="172" t="s">
        <v>243</v>
      </c>
      <c r="L20" s="172" t="s">
        <v>243</v>
      </c>
      <c r="M20" s="172" t="s">
        <v>242</v>
      </c>
      <c r="N20" s="168"/>
      <c r="O20" s="168"/>
    </row>
    <row r="21" spans="2:15" ht="16">
      <c r="B21" s="153" t="s">
        <v>244</v>
      </c>
      <c r="C21" s="172" t="s">
        <v>245</v>
      </c>
      <c r="D21" s="172" t="s">
        <v>246</v>
      </c>
      <c r="E21" s="172" t="s">
        <v>247</v>
      </c>
      <c r="F21" s="172" t="s">
        <v>248</v>
      </c>
      <c r="G21" s="172" t="s">
        <v>249</v>
      </c>
      <c r="H21" s="172" t="s">
        <v>250</v>
      </c>
      <c r="I21" s="172" t="s">
        <v>251</v>
      </c>
      <c r="J21" s="172" t="s">
        <v>252</v>
      </c>
      <c r="K21" s="172" t="s">
        <v>253</v>
      </c>
      <c r="L21" s="172" t="s">
        <v>254</v>
      </c>
      <c r="M21" s="172" t="s">
        <v>254</v>
      </c>
      <c r="N21" s="168"/>
      <c r="O21" s="168"/>
    </row>
    <row r="22" spans="2:15" ht="16">
      <c r="B22" s="153" t="s">
        <v>255</v>
      </c>
      <c r="C22" s="172" t="s">
        <v>256</v>
      </c>
      <c r="D22" s="172" t="s">
        <v>257</v>
      </c>
      <c r="E22" s="172" t="s">
        <v>258</v>
      </c>
      <c r="F22" s="172" t="s">
        <v>259</v>
      </c>
      <c r="G22" s="172" t="s">
        <v>260</v>
      </c>
      <c r="H22" s="172" t="s">
        <v>261</v>
      </c>
      <c r="I22" s="172" t="s">
        <v>262</v>
      </c>
      <c r="J22" s="172" t="s">
        <v>261</v>
      </c>
      <c r="K22" s="172" t="s">
        <v>263</v>
      </c>
      <c r="L22" s="172" t="s">
        <v>264</v>
      </c>
      <c r="M22" s="172" t="s">
        <v>265</v>
      </c>
      <c r="N22" s="168"/>
      <c r="O22" s="168"/>
    </row>
    <row r="23" spans="2:15" ht="16">
      <c r="B23" s="153" t="s">
        <v>266</v>
      </c>
      <c r="C23" s="172" t="s">
        <v>267</v>
      </c>
      <c r="D23" s="172" t="s">
        <v>268</v>
      </c>
      <c r="E23" s="172" t="s">
        <v>269</v>
      </c>
      <c r="F23" s="172" t="s">
        <v>270</v>
      </c>
      <c r="G23" s="172" t="s">
        <v>271</v>
      </c>
      <c r="H23" s="172" t="s">
        <v>272</v>
      </c>
      <c r="I23" s="172" t="s">
        <v>273</v>
      </c>
      <c r="J23" s="172" t="s">
        <v>274</v>
      </c>
      <c r="K23" s="172" t="s">
        <v>275</v>
      </c>
      <c r="L23" s="172" t="s">
        <v>276</v>
      </c>
      <c r="M23" s="172" t="s">
        <v>277</v>
      </c>
      <c r="N23" s="168"/>
      <c r="O23" s="168"/>
    </row>
    <row r="24" spans="2:15" ht="15">
      <c r="B24" s="153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68"/>
      <c r="O24" s="168"/>
    </row>
    <row r="25" spans="2:15" ht="15">
      <c r="B25" s="167" t="s">
        <v>278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68"/>
      <c r="O25" s="168"/>
    </row>
    <row r="26" spans="2:15" ht="16">
      <c r="B26" s="153" t="s">
        <v>279</v>
      </c>
      <c r="C26" s="172" t="s">
        <v>280</v>
      </c>
      <c r="D26" s="172" t="s">
        <v>281</v>
      </c>
      <c r="E26" s="172" t="s">
        <v>282</v>
      </c>
      <c r="F26" s="172" t="s">
        <v>283</v>
      </c>
      <c r="G26" s="172" t="s">
        <v>240</v>
      </c>
      <c r="H26" s="172" t="s">
        <v>240</v>
      </c>
      <c r="I26" s="172" t="s">
        <v>284</v>
      </c>
      <c r="J26" s="172" t="s">
        <v>285</v>
      </c>
      <c r="K26" s="172" t="s">
        <v>240</v>
      </c>
      <c r="L26" s="172" t="s">
        <v>282</v>
      </c>
      <c r="M26" s="172" t="s">
        <v>284</v>
      </c>
      <c r="N26" s="168"/>
      <c r="O26" s="168"/>
    </row>
    <row r="27" spans="2:15" ht="16">
      <c r="B27" s="153" t="s">
        <v>286</v>
      </c>
      <c r="C27" s="172" t="s">
        <v>282</v>
      </c>
      <c r="D27" s="172" t="s">
        <v>240</v>
      </c>
      <c r="E27" s="172" t="s">
        <v>287</v>
      </c>
      <c r="F27" s="172" t="s">
        <v>288</v>
      </c>
      <c r="G27" s="172" t="s">
        <v>243</v>
      </c>
      <c r="H27" s="172" t="s">
        <v>243</v>
      </c>
      <c r="I27" s="172" t="s">
        <v>287</v>
      </c>
      <c r="J27" s="172" t="s">
        <v>241</v>
      </c>
      <c r="K27" s="172" t="s">
        <v>242</v>
      </c>
      <c r="L27" s="172" t="s">
        <v>288</v>
      </c>
      <c r="M27" s="172" t="s">
        <v>287</v>
      </c>
      <c r="N27" s="168"/>
      <c r="O27" s="168"/>
    </row>
    <row r="28" spans="2:15" ht="16">
      <c r="B28" s="153" t="s">
        <v>289</v>
      </c>
      <c r="C28" s="172" t="s">
        <v>288</v>
      </c>
      <c r="D28" s="172" t="s">
        <v>241</v>
      </c>
      <c r="E28" s="172" t="s">
        <v>242</v>
      </c>
      <c r="F28" s="172" t="s">
        <v>241</v>
      </c>
      <c r="G28" s="172" t="s">
        <v>290</v>
      </c>
      <c r="H28" s="172" t="s">
        <v>291</v>
      </c>
      <c r="I28" s="172" t="s">
        <v>242</v>
      </c>
      <c r="J28" s="172" t="s">
        <v>243</v>
      </c>
      <c r="K28" s="172" t="s">
        <v>292</v>
      </c>
      <c r="L28" s="172" t="s">
        <v>287</v>
      </c>
      <c r="M28" s="172" t="s">
        <v>241</v>
      </c>
      <c r="N28" s="168"/>
      <c r="O28" s="168"/>
    </row>
    <row r="29" spans="2:15" ht="16">
      <c r="B29" s="153" t="s">
        <v>293</v>
      </c>
      <c r="C29" s="172" t="s">
        <v>294</v>
      </c>
      <c r="D29" s="172" t="s">
        <v>295</v>
      </c>
      <c r="E29" s="172" t="s">
        <v>296</v>
      </c>
      <c r="F29" s="172" t="s">
        <v>297</v>
      </c>
      <c r="G29" s="172" t="s">
        <v>298</v>
      </c>
      <c r="H29" s="172" t="s">
        <v>299</v>
      </c>
      <c r="I29" s="172" t="s">
        <v>300</v>
      </c>
      <c r="J29" s="172" t="s">
        <v>301</v>
      </c>
      <c r="K29" s="172" t="s">
        <v>302</v>
      </c>
      <c r="L29" s="172" t="s">
        <v>303</v>
      </c>
      <c r="M29" s="172" t="s">
        <v>304</v>
      </c>
      <c r="N29" s="168"/>
      <c r="O29" s="168"/>
    </row>
    <row r="30" spans="2:15" ht="16">
      <c r="B30" s="153" t="s">
        <v>305</v>
      </c>
      <c r="C30" s="172" t="s">
        <v>306</v>
      </c>
      <c r="D30" s="172" t="s">
        <v>307</v>
      </c>
      <c r="E30" s="172" t="s">
        <v>308</v>
      </c>
      <c r="F30" s="172" t="s">
        <v>309</v>
      </c>
      <c r="G30" s="172" t="s">
        <v>310</v>
      </c>
      <c r="H30" s="172" t="s">
        <v>311</v>
      </c>
      <c r="I30" s="172" t="s">
        <v>312</v>
      </c>
      <c r="J30" s="172" t="s">
        <v>313</v>
      </c>
      <c r="K30" s="172" t="s">
        <v>249</v>
      </c>
      <c r="L30" s="172" t="s">
        <v>314</v>
      </c>
      <c r="M30" s="172" t="s">
        <v>315</v>
      </c>
      <c r="N30" s="168"/>
      <c r="O30" s="168"/>
    </row>
    <row r="31" spans="2:15" ht="16">
      <c r="B31" s="153" t="s">
        <v>316</v>
      </c>
      <c r="C31" s="172" t="s">
        <v>317</v>
      </c>
      <c r="D31" s="172" t="s">
        <v>318</v>
      </c>
      <c r="E31" s="172" t="s">
        <v>318</v>
      </c>
      <c r="F31" s="172" t="s">
        <v>319</v>
      </c>
      <c r="G31" s="172" t="s">
        <v>320</v>
      </c>
      <c r="H31" s="172" t="s">
        <v>321</v>
      </c>
      <c r="I31" s="172" t="s">
        <v>322</v>
      </c>
      <c r="J31" s="172" t="s">
        <v>323</v>
      </c>
      <c r="K31" s="172" t="s">
        <v>324</v>
      </c>
      <c r="L31" s="172" t="s">
        <v>325</v>
      </c>
      <c r="M31" s="172" t="s">
        <v>326</v>
      </c>
      <c r="N31" s="168"/>
      <c r="O31" s="168"/>
    </row>
    <row r="32" spans="2:15" ht="16">
      <c r="B32" s="153" t="s">
        <v>327</v>
      </c>
      <c r="C32" s="172" t="s">
        <v>328</v>
      </c>
      <c r="D32" s="172" t="s">
        <v>329</v>
      </c>
      <c r="E32" s="172" t="s">
        <v>330</v>
      </c>
      <c r="F32" s="172" t="s">
        <v>331</v>
      </c>
      <c r="G32" s="172" t="s">
        <v>328</v>
      </c>
      <c r="H32" s="172" t="s">
        <v>332</v>
      </c>
      <c r="I32" s="172" t="s">
        <v>333</v>
      </c>
      <c r="J32" s="172" t="s">
        <v>334</v>
      </c>
      <c r="K32" s="172" t="s">
        <v>335</v>
      </c>
      <c r="L32" s="172" t="s">
        <v>336</v>
      </c>
      <c r="M32" s="172" t="s">
        <v>337</v>
      </c>
      <c r="N32" s="168"/>
      <c r="O32" s="168"/>
    </row>
    <row r="33" spans="2:15" ht="15">
      <c r="B33" s="153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68"/>
      <c r="O33" s="168"/>
    </row>
    <row r="34" spans="2:15" ht="15">
      <c r="B34" s="167" t="s">
        <v>338</v>
      </c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68"/>
      <c r="O34" s="168"/>
    </row>
    <row r="35" spans="2:15" ht="15">
      <c r="B35" s="153" t="s">
        <v>339</v>
      </c>
      <c r="C35" s="169">
        <v>0</v>
      </c>
      <c r="D35" s="169">
        <v>0</v>
      </c>
      <c r="E35" s="169">
        <v>0</v>
      </c>
      <c r="F35" s="169">
        <v>0.13700000000000001</v>
      </c>
      <c r="G35" s="169">
        <v>0.316</v>
      </c>
      <c r="H35" s="169">
        <v>0.53900000000000003</v>
      </c>
      <c r="I35" s="169">
        <v>0.67900000000000005</v>
      </c>
      <c r="J35" s="169">
        <v>0.86299999999999999</v>
      </c>
      <c r="K35" s="169">
        <v>1.0680000000000001</v>
      </c>
      <c r="L35" s="169">
        <v>1.194</v>
      </c>
      <c r="M35" s="169">
        <v>1.871</v>
      </c>
      <c r="N35" s="168"/>
      <c r="O35" s="168"/>
    </row>
    <row r="36" spans="2:15" ht="15">
      <c r="B36" s="153" t="s">
        <v>340</v>
      </c>
      <c r="C36" s="169">
        <v>0</v>
      </c>
      <c r="D36" s="169">
        <v>0</v>
      </c>
      <c r="E36" s="169">
        <v>0</v>
      </c>
      <c r="F36" s="169">
        <v>0.121</v>
      </c>
      <c r="G36" s="169">
        <v>0.24</v>
      </c>
      <c r="H36" s="169">
        <v>0.35</v>
      </c>
      <c r="I36" s="169">
        <v>0.40400000000000003</v>
      </c>
      <c r="J36" s="169">
        <v>0.46300000000000002</v>
      </c>
      <c r="K36" s="169">
        <v>0.51700000000000002</v>
      </c>
      <c r="L36" s="169">
        <v>0.54400000000000004</v>
      </c>
      <c r="M36" s="169">
        <v>0.65200000000000002</v>
      </c>
      <c r="N36" s="168"/>
      <c r="O36" s="168"/>
    </row>
    <row r="37" spans="2:15" ht="15">
      <c r="B37" s="153" t="s">
        <v>341</v>
      </c>
      <c r="C37" s="169">
        <v>0</v>
      </c>
      <c r="D37" s="169">
        <v>0</v>
      </c>
      <c r="E37" s="169">
        <v>0</v>
      </c>
      <c r="F37" s="169">
        <v>0.13700000000000001</v>
      </c>
      <c r="G37" s="169">
        <v>0.26</v>
      </c>
      <c r="H37" s="169">
        <v>0.44700000000000001</v>
      </c>
      <c r="I37" s="169">
        <v>0.58799999999999997</v>
      </c>
      <c r="J37" s="169">
        <v>0.72499999999999998</v>
      </c>
      <c r="K37" s="169">
        <v>0.875</v>
      </c>
      <c r="L37" s="169">
        <v>1.0149999999999999</v>
      </c>
      <c r="M37" s="169">
        <v>1.6379999999999999</v>
      </c>
      <c r="N37" s="168"/>
      <c r="O37" s="168"/>
    </row>
    <row r="38" spans="2:15" ht="15">
      <c r="B38" s="153" t="s">
        <v>342</v>
      </c>
      <c r="C38" s="169">
        <v>0</v>
      </c>
      <c r="D38" s="169">
        <v>0</v>
      </c>
      <c r="E38" s="169">
        <v>0</v>
      </c>
      <c r="F38" s="169">
        <v>0.121</v>
      </c>
      <c r="G38" s="169">
        <v>0.19700000000000001</v>
      </c>
      <c r="H38" s="169">
        <v>0.28999999999999998</v>
      </c>
      <c r="I38" s="169">
        <v>0.35</v>
      </c>
      <c r="J38" s="169">
        <v>0.38900000000000001</v>
      </c>
      <c r="K38" s="169">
        <v>0.42299999999999999</v>
      </c>
      <c r="L38" s="169">
        <v>0.46200000000000002</v>
      </c>
      <c r="M38" s="169">
        <v>0.57099999999999995</v>
      </c>
      <c r="N38" s="168"/>
      <c r="O38" s="168"/>
    </row>
    <row r="39" spans="2:15" ht="15">
      <c r="B39" s="153" t="s">
        <v>343</v>
      </c>
      <c r="C39" s="169">
        <v>8.8999999999999996E-2</v>
      </c>
      <c r="D39" s="169">
        <v>0.10100000000000001</v>
      </c>
      <c r="E39" s="169">
        <v>0.11</v>
      </c>
      <c r="F39" s="169">
        <v>0.192</v>
      </c>
      <c r="G39" s="169">
        <v>0.245</v>
      </c>
      <c r="H39" s="169">
        <v>0.311</v>
      </c>
      <c r="I39" s="169">
        <v>0.35599999999999998</v>
      </c>
      <c r="J39" s="169">
        <v>0.374</v>
      </c>
      <c r="K39" s="169">
        <v>0.39</v>
      </c>
      <c r="L39" s="169">
        <v>0.42</v>
      </c>
      <c r="M39" s="169">
        <v>0.47299999999999998</v>
      </c>
      <c r="N39" s="168"/>
      <c r="O39" s="168"/>
    </row>
    <row r="40" spans="2:15" ht="15">
      <c r="B40" s="153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68"/>
      <c r="O40" s="168"/>
    </row>
    <row r="41" spans="2:15" ht="16">
      <c r="B41" s="153" t="s">
        <v>344</v>
      </c>
      <c r="C41" s="173" t="s">
        <v>214</v>
      </c>
      <c r="D41" s="173" t="s">
        <v>214</v>
      </c>
      <c r="E41" s="173" t="s">
        <v>214</v>
      </c>
      <c r="F41" s="173" t="s">
        <v>345</v>
      </c>
      <c r="G41" s="173" t="s">
        <v>346</v>
      </c>
      <c r="H41" s="173" t="s">
        <v>347</v>
      </c>
      <c r="I41" s="173" t="s">
        <v>348</v>
      </c>
      <c r="J41" s="173" t="s">
        <v>349</v>
      </c>
      <c r="K41" s="173" t="s">
        <v>350</v>
      </c>
      <c r="L41" s="173" t="s">
        <v>351</v>
      </c>
      <c r="M41" s="173" t="s">
        <v>352</v>
      </c>
      <c r="N41" s="168"/>
      <c r="O41" s="168"/>
    </row>
    <row r="42" spans="2:15" ht="16">
      <c r="B42" s="153" t="s">
        <v>353</v>
      </c>
      <c r="C42" s="173" t="s">
        <v>214</v>
      </c>
      <c r="D42" s="173" t="s">
        <v>214</v>
      </c>
      <c r="E42" s="173" t="s">
        <v>214</v>
      </c>
      <c r="F42" s="173" t="s">
        <v>354</v>
      </c>
      <c r="G42" s="173" t="s">
        <v>355</v>
      </c>
      <c r="H42" s="173" t="s">
        <v>356</v>
      </c>
      <c r="I42" s="173" t="s">
        <v>357</v>
      </c>
      <c r="J42" s="173" t="s">
        <v>358</v>
      </c>
      <c r="K42" s="173" t="s">
        <v>359</v>
      </c>
      <c r="L42" s="173" t="s">
        <v>360</v>
      </c>
      <c r="M42" s="173" t="s">
        <v>361</v>
      </c>
      <c r="N42" s="168"/>
      <c r="O42" s="168"/>
    </row>
    <row r="43" spans="2:15" ht="32">
      <c r="B43" s="153" t="s">
        <v>362</v>
      </c>
      <c r="C43" s="173" t="s">
        <v>363</v>
      </c>
      <c r="D43" s="173" t="s">
        <v>363</v>
      </c>
      <c r="E43" s="173" t="s">
        <v>363</v>
      </c>
      <c r="F43" s="173" t="s">
        <v>363</v>
      </c>
      <c r="G43" s="173" t="s">
        <v>363</v>
      </c>
      <c r="H43" s="173" t="s">
        <v>363</v>
      </c>
      <c r="I43" s="173" t="s">
        <v>363</v>
      </c>
      <c r="J43" s="173" t="s">
        <v>363</v>
      </c>
      <c r="K43" s="173" t="s">
        <v>363</v>
      </c>
      <c r="L43" s="173" t="s">
        <v>363</v>
      </c>
      <c r="M43" s="173" t="s">
        <v>363</v>
      </c>
      <c r="N43" s="168"/>
      <c r="O43" s="168"/>
    </row>
    <row r="44" spans="2:15" ht="16">
      <c r="B44" s="153" t="s">
        <v>364</v>
      </c>
      <c r="C44" s="173" t="s">
        <v>365</v>
      </c>
      <c r="D44" s="173" t="s">
        <v>365</v>
      </c>
      <c r="E44" s="173" t="s">
        <v>365</v>
      </c>
      <c r="F44" s="173" t="s">
        <v>366</v>
      </c>
      <c r="G44" s="173" t="s">
        <v>367</v>
      </c>
      <c r="H44" s="173" t="s">
        <v>368</v>
      </c>
      <c r="I44" s="173" t="s">
        <v>369</v>
      </c>
      <c r="J44" s="173" t="s">
        <v>370</v>
      </c>
      <c r="K44" s="173" t="s">
        <v>371</v>
      </c>
      <c r="L44" s="173" t="s">
        <v>372</v>
      </c>
      <c r="M44" s="173" t="s">
        <v>373</v>
      </c>
      <c r="N44" s="168"/>
      <c r="O44" s="168"/>
    </row>
    <row r="45" spans="2:15" ht="16">
      <c r="B45" s="153" t="s">
        <v>374</v>
      </c>
      <c r="C45" s="173" t="s">
        <v>375</v>
      </c>
      <c r="D45" s="173" t="s">
        <v>376</v>
      </c>
      <c r="E45" s="173" t="s">
        <v>377</v>
      </c>
      <c r="F45" s="173" t="s">
        <v>378</v>
      </c>
      <c r="G45" s="173" t="s">
        <v>379</v>
      </c>
      <c r="H45" s="173" t="s">
        <v>380</v>
      </c>
      <c r="I45" s="173" t="s">
        <v>381</v>
      </c>
      <c r="J45" s="173" t="s">
        <v>382</v>
      </c>
      <c r="K45" s="173" t="s">
        <v>383</v>
      </c>
      <c r="L45" s="173" t="s">
        <v>384</v>
      </c>
      <c r="M45" s="173" t="s">
        <v>385</v>
      </c>
      <c r="N45" s="168"/>
      <c r="O45" s="168"/>
    </row>
    <row r="46" spans="2:15" ht="15">
      <c r="B46" s="153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68"/>
      <c r="O46" s="168"/>
    </row>
    <row r="47" spans="2:15" ht="15">
      <c r="B47" s="153" t="s">
        <v>386</v>
      </c>
      <c r="C47" s="174">
        <v>8.59</v>
      </c>
      <c r="D47" s="174">
        <v>8.59</v>
      </c>
      <c r="E47" s="174">
        <v>9.44</v>
      </c>
      <c r="F47" s="174">
        <v>5.71</v>
      </c>
      <c r="G47" s="174">
        <v>5.18</v>
      </c>
      <c r="H47" s="174">
        <v>4.46</v>
      </c>
      <c r="I47" s="174">
        <v>3.74</v>
      </c>
      <c r="J47" s="174">
        <v>3.62</v>
      </c>
      <c r="K47" s="174">
        <v>4.22</v>
      </c>
      <c r="L47" s="174">
        <v>4.18</v>
      </c>
      <c r="M47" s="174">
        <v>6.19</v>
      </c>
      <c r="N47" s="168"/>
      <c r="O47" s="168"/>
    </row>
  </sheetData>
  <mergeCells count="1"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AB89"/>
  <sheetViews>
    <sheetView showGridLines="0" tabSelected="1" topLeftCell="A55" workbookViewId="0">
      <selection activeCell="O83" sqref="O83"/>
    </sheetView>
  </sheetViews>
  <sheetFormatPr baseColWidth="10" defaultColWidth="12.6640625" defaultRowHeight="15.75" customHeight="1"/>
  <cols>
    <col min="1" max="1" width="1.6640625" customWidth="1"/>
  </cols>
  <sheetData>
    <row r="1" spans="1:24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1">
      <c r="A2" s="8"/>
      <c r="B2" s="211" t="str">
        <f>CONCATENATE(INFO!C4, " ", "DCF")</f>
        <v xml:space="preserve"> DCF</v>
      </c>
      <c r="C2" s="212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">
      <c r="A3" s="1"/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>
      <c r="A4" s="1" t="s">
        <v>32</v>
      </c>
      <c r="B4" s="1" t="s">
        <v>0</v>
      </c>
      <c r="C4" s="2">
        <f>INFO!C3</f>
        <v>0</v>
      </c>
      <c r="D4" s="1"/>
      <c r="E4" s="205" t="s">
        <v>33</v>
      </c>
      <c r="F4" s="206"/>
      <c r="G4" s="11" t="e">
        <f ca="1">Z88</f>
        <v>#DIV/0!</v>
      </c>
      <c r="H4" s="1"/>
      <c r="I4" s="1"/>
      <c r="J4" s="1"/>
      <c r="K4" s="12" t="s">
        <v>34</v>
      </c>
      <c r="L4" s="12" t="s"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>
      <c r="A5" s="1"/>
      <c r="B5" s="1" t="s">
        <v>36</v>
      </c>
      <c r="C5" s="13">
        <f ca="1">TODAY()</f>
        <v>45331</v>
      </c>
      <c r="D5" s="1"/>
      <c r="E5" s="205" t="s">
        <v>37</v>
      </c>
      <c r="F5" s="206"/>
      <c r="G5" s="14">
        <f>INFO!C15</f>
        <v>0</v>
      </c>
      <c r="H5" s="1"/>
      <c r="I5" s="1" t="s">
        <v>38</v>
      </c>
      <c r="K5" s="15" t="e">
        <f ca="1">U88/G5-1</f>
        <v>#DIV/0!</v>
      </c>
      <c r="L5" s="15" t="e">
        <f ca="1">G4/G5-1</f>
        <v>#DIV/0!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>
      <c r="A7" s="1" t="s">
        <v>32</v>
      </c>
      <c r="B7" s="209" t="s">
        <v>39</v>
      </c>
      <c r="C7" s="213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1"/>
      <c r="S7" s="1"/>
      <c r="T7" s="1"/>
      <c r="U7" s="1"/>
      <c r="V7" s="1"/>
      <c r="W7" s="1"/>
      <c r="X7" s="1"/>
    </row>
    <row r="8" spans="1:24" ht="15">
      <c r="A8" s="1"/>
      <c r="B8" s="10" t="s">
        <v>40</v>
      </c>
      <c r="C8" s="1"/>
      <c r="D8" s="1"/>
      <c r="E8" s="1"/>
      <c r="F8" s="210" t="s">
        <v>41</v>
      </c>
      <c r="G8" s="206"/>
      <c r="H8" s="1"/>
      <c r="I8" s="1"/>
      <c r="J8" s="10" t="s">
        <v>42</v>
      </c>
      <c r="K8" s="1"/>
      <c r="L8" s="1"/>
      <c r="M8" s="1"/>
      <c r="N8" s="210" t="s">
        <v>43</v>
      </c>
      <c r="O8" s="206"/>
      <c r="P8" s="10"/>
      <c r="Q8" s="1"/>
      <c r="R8" s="1"/>
      <c r="S8" s="1"/>
      <c r="T8" s="1"/>
      <c r="U8" s="1"/>
      <c r="V8" s="1"/>
      <c r="W8" s="1"/>
      <c r="X8" s="1"/>
    </row>
    <row r="9" spans="1:24" ht="15">
      <c r="A9" s="1"/>
      <c r="B9" s="205" t="s">
        <v>44</v>
      </c>
      <c r="C9" s="206"/>
      <c r="D9" s="2">
        <v>2</v>
      </c>
      <c r="E9" s="1"/>
      <c r="F9" s="205" t="e">
        <f>CONCATENATE("Revenue", " ",Q43)</f>
        <v>#VALUE!</v>
      </c>
      <c r="G9" s="206"/>
      <c r="H9" s="2" t="e">
        <f>Q47-1%</f>
        <v>#VALUE!</v>
      </c>
      <c r="I9" s="1"/>
      <c r="J9" s="1"/>
      <c r="K9" s="1"/>
      <c r="L9" s="1"/>
      <c r="M9" s="1"/>
      <c r="N9" s="205" t="e">
        <f>CONCATENATE("Revenue ", Q43)</f>
        <v>#VALUE!</v>
      </c>
      <c r="O9" s="206"/>
      <c r="P9" s="2" t="e">
        <f>Q47+1%</f>
        <v>#VALUE!</v>
      </c>
      <c r="R9" s="1"/>
      <c r="S9" s="1"/>
      <c r="T9" s="1"/>
      <c r="U9" s="1"/>
      <c r="V9" s="1"/>
      <c r="W9" s="1"/>
      <c r="X9" s="1"/>
    </row>
    <row r="10" spans="1:24" ht="15">
      <c r="A10" s="1"/>
      <c r="B10" s="205" t="s">
        <v>45</v>
      </c>
      <c r="C10" s="206"/>
      <c r="D10" s="16">
        <v>2</v>
      </c>
      <c r="E10" s="1"/>
      <c r="F10" s="205" t="e">
        <f>CONCATENATE("Revenue ", Z43)</f>
        <v>#VALUE!</v>
      </c>
      <c r="G10" s="206"/>
      <c r="H10" s="17">
        <v>0.03</v>
      </c>
      <c r="I10" s="1"/>
      <c r="J10" s="205" t="e">
        <f>CONCATENATE("Revenue ", Z43)</f>
        <v>#VALUE!</v>
      </c>
      <c r="K10" s="206"/>
      <c r="L10" s="18">
        <v>0.05</v>
      </c>
      <c r="M10" s="1"/>
      <c r="N10" s="205" t="e">
        <f>CONCATENATE("Revenue ", Z43)</f>
        <v>#VALUE!</v>
      </c>
      <c r="O10" s="206"/>
      <c r="P10" s="17">
        <v>7.0000000000000007E-2</v>
      </c>
      <c r="R10" s="1"/>
      <c r="S10" s="1"/>
      <c r="T10" s="1"/>
      <c r="U10" s="1"/>
      <c r="V10" s="1"/>
      <c r="W10" s="1"/>
      <c r="X10" s="1"/>
    </row>
    <row r="11" spans="1:24" ht="15">
      <c r="A11" s="1"/>
      <c r="B11" s="1" t="s">
        <v>46</v>
      </c>
      <c r="C11" s="1"/>
      <c r="D11" s="16">
        <v>1</v>
      </c>
      <c r="E11" s="1"/>
      <c r="F11" s="1" t="e">
        <f>CONCATENATE("EBIT ", Q43)</f>
        <v>#VALUE!</v>
      </c>
      <c r="G11" s="1"/>
      <c r="H11" s="16" t="e">
        <f>Q53-1%</f>
        <v>#DIV/0!</v>
      </c>
      <c r="I11" s="1"/>
      <c r="J11" s="1" t="s">
        <v>47</v>
      </c>
      <c r="K11" s="1"/>
      <c r="L11" s="1" t="e">
        <f>AVERAGE(G23:O23)</f>
        <v>#DIV/0!</v>
      </c>
      <c r="M11" s="1"/>
      <c r="N11" s="1" t="e">
        <f>CONCATENATE("EBIT ", Q43)</f>
        <v>#VALUE!</v>
      </c>
      <c r="O11" s="1"/>
      <c r="P11" s="16" t="e">
        <f>Q53+1%</f>
        <v>#DIV/0!</v>
      </c>
      <c r="R11" s="1"/>
      <c r="S11" s="1"/>
      <c r="T11" s="1"/>
      <c r="U11" s="1"/>
      <c r="V11" s="1"/>
      <c r="W11" s="1"/>
      <c r="X11" s="1"/>
    </row>
    <row r="12" spans="1:24" ht="15">
      <c r="A12" s="1"/>
      <c r="B12" s="1" t="s">
        <v>48</v>
      </c>
      <c r="C12" s="1"/>
      <c r="D12" s="16">
        <v>2</v>
      </c>
      <c r="E12" s="1"/>
      <c r="F12" s="1" t="s">
        <v>46</v>
      </c>
      <c r="G12" s="1"/>
      <c r="H12" s="17">
        <v>0.25</v>
      </c>
      <c r="I12" s="1"/>
      <c r="J12" s="1"/>
      <c r="K12" s="1"/>
      <c r="L12" s="1"/>
      <c r="M12" s="1"/>
      <c r="N12" s="1" t="s">
        <v>46</v>
      </c>
      <c r="O12" s="1"/>
      <c r="P12" s="17">
        <v>0.17</v>
      </c>
      <c r="R12" s="1"/>
      <c r="S12" s="1"/>
      <c r="T12" s="1"/>
      <c r="U12" s="1"/>
      <c r="V12" s="1"/>
      <c r="W12" s="1"/>
      <c r="X12" s="1"/>
    </row>
    <row r="13" spans="1:24" ht="15">
      <c r="A13" s="1"/>
      <c r="B13" s="1" t="s">
        <v>49</v>
      </c>
      <c r="C13" s="1"/>
      <c r="D13" s="16">
        <v>2</v>
      </c>
      <c r="E13" s="1"/>
      <c r="F13" s="1" t="s">
        <v>48</v>
      </c>
      <c r="G13" s="1"/>
      <c r="H13" s="17">
        <v>5.0999999999999997E-2</v>
      </c>
      <c r="I13" s="1"/>
      <c r="J13" s="1"/>
      <c r="K13" s="1"/>
      <c r="L13" s="1"/>
      <c r="M13" s="1"/>
      <c r="N13" s="1" t="s">
        <v>48</v>
      </c>
      <c r="O13" s="1"/>
      <c r="P13" s="17">
        <v>6.0999999999999999E-2</v>
      </c>
      <c r="R13" s="1"/>
      <c r="S13" s="1"/>
      <c r="T13" s="1"/>
      <c r="U13" s="1"/>
      <c r="V13" s="1"/>
      <c r="W13" s="1"/>
      <c r="X13" s="1"/>
    </row>
    <row r="14" spans="1:24" ht="15">
      <c r="A14" s="1"/>
      <c r="B14" s="1" t="s">
        <v>50</v>
      </c>
      <c r="C14" s="1"/>
      <c r="D14" s="16">
        <v>2</v>
      </c>
      <c r="E14" s="1"/>
      <c r="F14" s="1" t="e">
        <f>CONCATENATE("CapEx ", Z43)</f>
        <v>#VALUE!</v>
      </c>
      <c r="G14" s="1"/>
      <c r="H14" s="17">
        <v>0.09</v>
      </c>
      <c r="I14" s="1"/>
      <c r="J14" s="205" t="e">
        <f>CONCATENATE("CapEx ", Z43)</f>
        <v>#VALUE!</v>
      </c>
      <c r="K14" s="206"/>
      <c r="L14" s="18">
        <v>7.0000000000000007E-2</v>
      </c>
      <c r="M14" s="1"/>
      <c r="N14" s="205" t="e">
        <f>CONCATENATE("CapEx ", Z43)</f>
        <v>#VALUE!</v>
      </c>
      <c r="O14" s="206"/>
      <c r="P14" s="17">
        <v>0.05</v>
      </c>
      <c r="R14" s="1"/>
      <c r="S14" s="1"/>
      <c r="T14" s="1"/>
      <c r="U14" s="1"/>
      <c r="V14" s="1"/>
      <c r="W14" s="1"/>
      <c r="X14" s="1"/>
    </row>
    <row r="15" spans="1:24" ht="15">
      <c r="A15" s="1"/>
      <c r="B15" s="1" t="s">
        <v>51</v>
      </c>
      <c r="C15" s="1"/>
      <c r="D15" s="16">
        <v>2</v>
      </c>
      <c r="E15" s="1"/>
      <c r="F15" s="1" t="s">
        <v>50</v>
      </c>
      <c r="G15" s="1"/>
      <c r="H15" s="17">
        <v>0.09</v>
      </c>
      <c r="I15" s="1"/>
      <c r="J15" s="1" t="s">
        <v>50</v>
      </c>
      <c r="K15" s="1"/>
      <c r="L15" s="17">
        <f>0.08</f>
        <v>0.08</v>
      </c>
      <c r="M15" s="1"/>
      <c r="N15" s="1" t="s">
        <v>50</v>
      </c>
      <c r="O15" s="1"/>
      <c r="P15" s="17">
        <v>7.0000000000000007E-2</v>
      </c>
      <c r="R15" s="1"/>
      <c r="S15" s="1"/>
      <c r="T15" s="1"/>
      <c r="U15" s="1"/>
      <c r="V15" s="1"/>
      <c r="W15" s="1"/>
      <c r="X15" s="1"/>
    </row>
    <row r="16" spans="1:24" ht="15">
      <c r="A16" s="1"/>
      <c r="B16" s="1"/>
      <c r="C16" s="1"/>
      <c r="D16" s="1"/>
      <c r="E16" s="1"/>
      <c r="F16" s="1" t="s">
        <v>51</v>
      </c>
      <c r="G16" s="1"/>
      <c r="H16" s="17">
        <v>2.5000000000000001E-2</v>
      </c>
      <c r="I16" s="1"/>
      <c r="J16" s="1" t="s">
        <v>51</v>
      </c>
      <c r="K16" s="1"/>
      <c r="L16" s="17">
        <v>0.03</v>
      </c>
      <c r="M16" s="1"/>
      <c r="N16" s="1" t="s">
        <v>51</v>
      </c>
      <c r="O16" s="1"/>
      <c r="P16" s="17">
        <v>3.5000000000000003E-2</v>
      </c>
      <c r="R16" s="1"/>
      <c r="S16" s="1"/>
      <c r="T16" s="1"/>
      <c r="U16" s="1"/>
      <c r="V16" s="1"/>
      <c r="W16" s="1"/>
      <c r="X16" s="1"/>
    </row>
    <row r="17" spans="1:24" ht="15">
      <c r="A17" s="1"/>
      <c r="B17" s="210" t="s">
        <v>52</v>
      </c>
      <c r="C17" s="20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>
      <c r="A18" s="1"/>
      <c r="B18" s="1" t="s">
        <v>50</v>
      </c>
      <c r="C18" s="1"/>
      <c r="D18" s="18">
        <f t="shared" ref="D18:D19" si="0">CHOOSE(D14,H15,L15,P15)</f>
        <v>0.08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>
      <c r="A19" s="1"/>
      <c r="B19" s="1" t="s">
        <v>51</v>
      </c>
      <c r="C19" s="1"/>
      <c r="D19" s="18">
        <f t="shared" si="0"/>
        <v>0.03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>
      <c r="A21" s="1" t="s">
        <v>32</v>
      </c>
      <c r="B21" s="209" t="s">
        <v>53</v>
      </c>
      <c r="C21" s="206"/>
      <c r="D21" s="12"/>
      <c r="E21" s="12"/>
      <c r="F21" s="19" t="str">
        <f>RIGHT(IS!C2,4)</f>
        <v/>
      </c>
      <c r="G21" s="19" t="str">
        <f>RIGHT(IS!D2,4)</f>
        <v/>
      </c>
      <c r="H21" s="19" t="str">
        <f>RIGHT(IS!E2,4)</f>
        <v/>
      </c>
      <c r="I21" s="19" t="str">
        <f>RIGHT(IS!F2,4)</f>
        <v/>
      </c>
      <c r="J21" s="19" t="str">
        <f>RIGHT(IS!G2,4)</f>
        <v/>
      </c>
      <c r="K21" s="19" t="str">
        <f>RIGHT(IS!H2,4)</f>
        <v/>
      </c>
      <c r="L21" s="19" t="str">
        <f>RIGHT(IS!I2,4)</f>
        <v/>
      </c>
      <c r="M21" s="19" t="str">
        <f>RIGHT(IS!J2,4)</f>
        <v/>
      </c>
      <c r="N21" s="19" t="str">
        <f>RIGHT(IS!K2,4)</f>
        <v/>
      </c>
      <c r="O21" s="19" t="str">
        <f>RIGHT(IS!L2,4)</f>
        <v/>
      </c>
      <c r="P21" s="19" t="s">
        <v>54</v>
      </c>
      <c r="Q21" s="19" t="e">
        <f>O21+1</f>
        <v>#VALUE!</v>
      </c>
      <c r="R21" s="19" t="e">
        <f t="shared" ref="R21:S21" si="1">Q21+1</f>
        <v>#VALUE!</v>
      </c>
      <c r="S21" s="19" t="e">
        <f t="shared" si="1"/>
        <v>#VALUE!</v>
      </c>
      <c r="T21" s="20"/>
      <c r="U21" s="19" t="e">
        <f>CONCATENATE(Q21, "| KOYFIN")</f>
        <v>#VALUE!</v>
      </c>
      <c r="V21" s="19" t="e">
        <f>CONCATENATE(R21, "| KOYFIN")</f>
        <v>#VALUE!</v>
      </c>
      <c r="W21" s="19" t="e">
        <f>CONCATENATE(S21, "| KOYFIN")</f>
        <v>#VALUE!</v>
      </c>
    </row>
    <row r="22" spans="1:24" ht="15">
      <c r="A22" s="1"/>
      <c r="B22" s="1" t="s">
        <v>55</v>
      </c>
      <c r="C22" s="1"/>
      <c r="D22" s="1"/>
      <c r="E22" s="1"/>
      <c r="F22" s="20">
        <f>IS!C4/1000000</f>
        <v>0</v>
      </c>
      <c r="G22" s="20">
        <f>IS!D4/1000000</f>
        <v>0</v>
      </c>
      <c r="H22" s="20">
        <f>IS!E4/1000000</f>
        <v>0</v>
      </c>
      <c r="I22" s="20">
        <f>IS!F4/1000000</f>
        <v>0</v>
      </c>
      <c r="J22" s="20">
        <f>IS!G4/1000000</f>
        <v>0</v>
      </c>
      <c r="K22" s="20">
        <f>IS!H4/1000000</f>
        <v>0</v>
      </c>
      <c r="L22" s="20">
        <f>IS!I4/1000000</f>
        <v>0</v>
      </c>
      <c r="M22" s="20">
        <f>IS!J4/1000000</f>
        <v>0</v>
      </c>
      <c r="N22" s="20">
        <f>IS!K4/1000000</f>
        <v>0</v>
      </c>
      <c r="O22" s="20">
        <f>IS!L4/1000000</f>
        <v>0</v>
      </c>
      <c r="P22" s="21">
        <f>IS!M4/1000000</f>
        <v>0</v>
      </c>
      <c r="Q22" s="21" t="e">
        <f>IF(ISBLANK(U22),IF(OR(ISBLANK(RESEARCH!G15),RESEARCH!G13&lt;&gt;Q21),IF(OR(ISBLANK(RESEARCH!H15),RESEARCH!H13&lt;&gt;Q21),O22*(1+AVERAGE($G$23:O23)),RESEARCH!H15/1000000),RESEARCH!G15/1000000),U22)</f>
        <v>#VALUE!</v>
      </c>
      <c r="R22" s="20" t="e">
        <f>IF(ISBLANK(V22), IF(OR(ISBLANK(RESEARCH!H15),RESEARCH!H13&lt;&gt;R21), Q22*(1+AVERAGE($G$23:O23,Q23)), RESEARCH!H15/1000000), V22)</f>
        <v>#VALUE!</v>
      </c>
      <c r="S22" s="20" t="e">
        <f>IF(ISBLANK(W22), R22*(1+AVERAGE($G$23:O23,Q23:R23)), W22)</f>
        <v>#VALUE!</v>
      </c>
      <c r="T22" s="20"/>
      <c r="U22" s="22"/>
      <c r="V22" s="22"/>
      <c r="W22" s="22"/>
    </row>
    <row r="23" spans="1:24" ht="15">
      <c r="A23" s="1"/>
      <c r="B23" s="23" t="s">
        <v>56</v>
      </c>
      <c r="C23" s="1"/>
      <c r="D23" s="1"/>
      <c r="E23" s="1"/>
      <c r="F23" s="1"/>
      <c r="G23" s="24" t="e">
        <f t="shared" ref="G23:O23" si="2">(G22/F22)-1</f>
        <v>#DIV/0!</v>
      </c>
      <c r="H23" s="24" t="e">
        <f t="shared" si="2"/>
        <v>#DIV/0!</v>
      </c>
      <c r="I23" s="24" t="e">
        <f t="shared" si="2"/>
        <v>#DIV/0!</v>
      </c>
      <c r="J23" s="24" t="e">
        <f t="shared" si="2"/>
        <v>#DIV/0!</v>
      </c>
      <c r="K23" s="24" t="e">
        <f t="shared" si="2"/>
        <v>#DIV/0!</v>
      </c>
      <c r="L23" s="24" t="e">
        <f t="shared" si="2"/>
        <v>#DIV/0!</v>
      </c>
      <c r="M23" s="24" t="e">
        <f t="shared" si="2"/>
        <v>#DIV/0!</v>
      </c>
      <c r="N23" s="24" t="e">
        <f t="shared" si="2"/>
        <v>#DIV/0!</v>
      </c>
      <c r="O23" s="24" t="e">
        <f t="shared" si="2"/>
        <v>#DIV/0!</v>
      </c>
      <c r="P23" s="25"/>
      <c r="Q23" s="25" t="e">
        <f>(Q22/O22)-1</f>
        <v>#VALUE!</v>
      </c>
      <c r="R23" s="24" t="e">
        <f t="shared" ref="R23:S23" si="3">(R22/Q22)-1</f>
        <v>#VALUE!</v>
      </c>
      <c r="S23" s="24" t="e">
        <f t="shared" si="3"/>
        <v>#VALUE!</v>
      </c>
      <c r="T23" s="24"/>
      <c r="U23" s="26"/>
      <c r="V23" s="26"/>
      <c r="W23" s="26"/>
    </row>
    <row r="24" spans="1:24" ht="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P24" s="27"/>
      <c r="Q24" s="27"/>
      <c r="R24" s="1"/>
      <c r="S24" s="1"/>
      <c r="T24" s="1"/>
      <c r="U24" s="28"/>
      <c r="V24" s="28"/>
      <c r="W24" s="28"/>
    </row>
    <row r="25" spans="1:24" ht="15">
      <c r="A25" s="1"/>
      <c r="B25" s="1" t="s">
        <v>57</v>
      </c>
      <c r="C25" s="1"/>
      <c r="D25" s="1"/>
      <c r="E25" s="1"/>
      <c r="F25" s="20">
        <f>IS!C45/1000000</f>
        <v>0</v>
      </c>
      <c r="G25" s="20">
        <f>IS!D45/1000000</f>
        <v>0</v>
      </c>
      <c r="H25" s="20">
        <f>IS!E45/1000000</f>
        <v>0</v>
      </c>
      <c r="I25" s="20">
        <f>IS!F45/1000000</f>
        <v>0</v>
      </c>
      <c r="J25" s="20">
        <f>IS!G45/1000000</f>
        <v>0</v>
      </c>
      <c r="K25" s="20">
        <f>IS!H45/1000000</f>
        <v>0</v>
      </c>
      <c r="L25" s="20">
        <f>IS!I45/1000000</f>
        <v>0</v>
      </c>
      <c r="M25" s="20">
        <f>IS!J45/1000000</f>
        <v>0</v>
      </c>
      <c r="N25" s="20">
        <f>IS!K45/1000000</f>
        <v>0</v>
      </c>
      <c r="O25" s="20">
        <f>IS!L45/1000000</f>
        <v>0</v>
      </c>
      <c r="P25" s="21">
        <f>IS!M45/1000000</f>
        <v>0</v>
      </c>
      <c r="Q25" s="21" t="e">
        <f>IF(ISBLANK(U25), O25*(1+AVERAGE($G$26:O26)),  U22)</f>
        <v>#DIV/0!</v>
      </c>
      <c r="R25" s="20" t="e">
        <f>IF(ISBLANK(V25),  Q25*(1+AVERAGE($G$26:O26,Q26)),  V22)</f>
        <v>#DIV/0!</v>
      </c>
      <c r="S25" s="20" t="e">
        <f>IF(ISBLANK(W25), R25*(1+AVERAGE($G$26:O26,Q26:R26)), W22)</f>
        <v>#DIV/0!</v>
      </c>
      <c r="T25" s="20"/>
      <c r="U25" s="22"/>
      <c r="V25" s="22"/>
      <c r="W25" s="22"/>
    </row>
    <row r="26" spans="1:24" ht="15">
      <c r="A26" s="1"/>
      <c r="B26" s="208" t="s">
        <v>58</v>
      </c>
      <c r="C26" s="206"/>
      <c r="D26" s="1"/>
      <c r="E26" s="1"/>
      <c r="F26" s="24" t="e">
        <f t="shared" ref="F26:S26" si="4">F25/F22</f>
        <v>#DIV/0!</v>
      </c>
      <c r="G26" s="24" t="e">
        <f t="shared" si="4"/>
        <v>#DIV/0!</v>
      </c>
      <c r="H26" s="24" t="e">
        <f t="shared" si="4"/>
        <v>#DIV/0!</v>
      </c>
      <c r="I26" s="24" t="e">
        <f t="shared" si="4"/>
        <v>#DIV/0!</v>
      </c>
      <c r="J26" s="24" t="e">
        <f t="shared" si="4"/>
        <v>#DIV/0!</v>
      </c>
      <c r="K26" s="24" t="e">
        <f t="shared" si="4"/>
        <v>#DIV/0!</v>
      </c>
      <c r="L26" s="24" t="e">
        <f t="shared" si="4"/>
        <v>#DIV/0!</v>
      </c>
      <c r="M26" s="24" t="e">
        <f t="shared" si="4"/>
        <v>#DIV/0!</v>
      </c>
      <c r="N26" s="24" t="e">
        <f t="shared" si="4"/>
        <v>#DIV/0!</v>
      </c>
      <c r="O26" s="24" t="e">
        <f t="shared" si="4"/>
        <v>#DIV/0!</v>
      </c>
      <c r="P26" s="25" t="e">
        <f t="shared" si="4"/>
        <v>#DIV/0!</v>
      </c>
      <c r="Q26" s="25" t="e">
        <f t="shared" si="4"/>
        <v>#DIV/0!</v>
      </c>
      <c r="R26" s="24" t="e">
        <f t="shared" si="4"/>
        <v>#DIV/0!</v>
      </c>
      <c r="S26" s="24" t="e">
        <f t="shared" si="4"/>
        <v>#DIV/0!</v>
      </c>
      <c r="T26" s="24"/>
      <c r="U26" s="24"/>
      <c r="V26" s="1"/>
    </row>
    <row r="27" spans="1:24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P27" s="27"/>
      <c r="Q27" s="29"/>
      <c r="R27" s="1"/>
      <c r="S27" s="1"/>
      <c r="T27" s="1"/>
      <c r="U27" s="1"/>
      <c r="V27" s="1"/>
    </row>
    <row r="28" spans="1:24" ht="15">
      <c r="A28" s="1"/>
      <c r="B28" s="1" t="s">
        <v>46</v>
      </c>
      <c r="C28" s="1"/>
      <c r="D28" s="1"/>
      <c r="E28" s="1"/>
      <c r="F28" s="20">
        <f>IS!C27/1000000</f>
        <v>0</v>
      </c>
      <c r="G28" s="20">
        <f>IS!D27/1000000</f>
        <v>0</v>
      </c>
      <c r="H28" s="20">
        <f>IS!E27/1000000</f>
        <v>0</v>
      </c>
      <c r="I28" s="20">
        <f>IS!F27/1000000</f>
        <v>0</v>
      </c>
      <c r="J28" s="20">
        <f>IS!G27/1000000</f>
        <v>0</v>
      </c>
      <c r="K28" s="20">
        <f>IS!H27/1000000</f>
        <v>0</v>
      </c>
      <c r="L28" s="20">
        <f>IS!I27/1000000</f>
        <v>0</v>
      </c>
      <c r="M28" s="20">
        <f>IS!J27/1000000</f>
        <v>0</v>
      </c>
      <c r="N28" s="20">
        <f>IS!K27/1000000</f>
        <v>0</v>
      </c>
      <c r="O28" s="20">
        <f>IS!L27/1000000</f>
        <v>0</v>
      </c>
      <c r="P28" s="21">
        <f>IS!M27/1000000</f>
        <v>0</v>
      </c>
      <c r="Q28" s="29"/>
      <c r="R28" s="1"/>
      <c r="S28" s="1"/>
      <c r="T28" s="1"/>
      <c r="U28" s="1"/>
      <c r="V28" s="1"/>
    </row>
    <row r="29" spans="1:24" ht="15">
      <c r="A29" s="1"/>
      <c r="B29" s="23" t="s">
        <v>59</v>
      </c>
      <c r="C29" s="1"/>
      <c r="D29" s="1"/>
      <c r="E29" s="1"/>
      <c r="F29" s="24" t="e">
        <f t="shared" ref="F29:P29" si="5">F28/F25</f>
        <v>#DIV/0!</v>
      </c>
      <c r="G29" s="24" t="e">
        <f t="shared" si="5"/>
        <v>#DIV/0!</v>
      </c>
      <c r="H29" s="24" t="e">
        <f t="shared" si="5"/>
        <v>#DIV/0!</v>
      </c>
      <c r="I29" s="24" t="e">
        <f t="shared" si="5"/>
        <v>#DIV/0!</v>
      </c>
      <c r="J29" s="24" t="e">
        <f t="shared" si="5"/>
        <v>#DIV/0!</v>
      </c>
      <c r="K29" s="24" t="e">
        <f t="shared" si="5"/>
        <v>#DIV/0!</v>
      </c>
      <c r="L29" s="24" t="e">
        <f t="shared" si="5"/>
        <v>#DIV/0!</v>
      </c>
      <c r="M29" s="24" t="e">
        <f t="shared" si="5"/>
        <v>#DIV/0!</v>
      </c>
      <c r="N29" s="24" t="e">
        <f t="shared" si="5"/>
        <v>#DIV/0!</v>
      </c>
      <c r="O29" s="24" t="e">
        <f t="shared" si="5"/>
        <v>#DIV/0!</v>
      </c>
      <c r="P29" s="25" t="e">
        <f t="shared" si="5"/>
        <v>#DIV/0!</v>
      </c>
      <c r="Q29" s="29"/>
      <c r="R29" s="1"/>
      <c r="S29" s="1"/>
      <c r="T29" s="1"/>
      <c r="U29" s="1"/>
      <c r="V29" s="1"/>
    </row>
    <row r="30" spans="1:24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9"/>
      <c r="Q30" s="29"/>
      <c r="R30" s="1"/>
      <c r="S30" s="1"/>
      <c r="T30" s="1"/>
      <c r="U30" s="1"/>
      <c r="V30" s="1"/>
    </row>
    <row r="31" spans="1:24" ht="15">
      <c r="A31" s="1" t="s">
        <v>32</v>
      </c>
      <c r="B31" s="209" t="s">
        <v>60</v>
      </c>
      <c r="C31" s="206"/>
      <c r="D31" s="12"/>
      <c r="E31" s="12"/>
      <c r="F31" s="19" t="str">
        <f t="shared" ref="F31:O31" si="6">F21</f>
        <v/>
      </c>
      <c r="G31" s="19" t="str">
        <f t="shared" si="6"/>
        <v/>
      </c>
      <c r="H31" s="19" t="str">
        <f t="shared" si="6"/>
        <v/>
      </c>
      <c r="I31" s="19" t="str">
        <f t="shared" si="6"/>
        <v/>
      </c>
      <c r="J31" s="19" t="str">
        <f t="shared" si="6"/>
        <v/>
      </c>
      <c r="K31" s="19" t="str">
        <f t="shared" si="6"/>
        <v/>
      </c>
      <c r="L31" s="19" t="str">
        <f t="shared" si="6"/>
        <v/>
      </c>
      <c r="M31" s="19" t="str">
        <f t="shared" si="6"/>
        <v/>
      </c>
      <c r="N31" s="19" t="str">
        <f t="shared" si="6"/>
        <v/>
      </c>
      <c r="O31" s="19" t="str">
        <f t="shared" si="6"/>
        <v/>
      </c>
      <c r="P31" s="19" t="s">
        <v>54</v>
      </c>
      <c r="Q31" s="19" t="e">
        <f t="shared" ref="Q31:S31" si="7">Q21</f>
        <v>#VALUE!</v>
      </c>
      <c r="R31" s="19" t="e">
        <f t="shared" si="7"/>
        <v>#VALUE!</v>
      </c>
      <c r="S31" s="19" t="e">
        <f t="shared" si="7"/>
        <v>#VALUE!</v>
      </c>
      <c r="T31" s="20"/>
      <c r="U31" s="19" t="e">
        <f>CONCATENATE(Q31, "| KOYFIN")</f>
        <v>#VALUE!</v>
      </c>
      <c r="V31" s="19" t="e">
        <f>CONCATENATE(R31, "| KOYFIN")</f>
        <v>#VALUE!</v>
      </c>
      <c r="W31" s="19" t="e">
        <f>CONCATENATE(S31, "| KOYFIN")</f>
        <v>#VALUE!</v>
      </c>
    </row>
    <row r="32" spans="1:24" ht="15">
      <c r="A32" s="1"/>
      <c r="B32" s="1" t="s">
        <v>48</v>
      </c>
      <c r="C32" s="1"/>
      <c r="D32" s="1"/>
      <c r="E32" s="1"/>
      <c r="F32" s="20">
        <f>CF!C6/1000000</f>
        <v>0</v>
      </c>
      <c r="G32" s="20">
        <f>CF!D6/1000000</f>
        <v>0</v>
      </c>
      <c r="H32" s="20">
        <f>CF!E6/1000000</f>
        <v>0</v>
      </c>
      <c r="I32" s="20">
        <f>CF!F6/1000000</f>
        <v>0</v>
      </c>
      <c r="J32" s="20">
        <f>CF!G6/1000000</f>
        <v>0</v>
      </c>
      <c r="K32" s="20">
        <f>CF!H6/1000000</f>
        <v>0</v>
      </c>
      <c r="L32" s="20">
        <f>CF!I6/1000000</f>
        <v>0</v>
      </c>
      <c r="M32" s="20">
        <f>CF!J6/1000000</f>
        <v>0</v>
      </c>
      <c r="N32" s="20">
        <f>CF!K6/1000000</f>
        <v>0</v>
      </c>
      <c r="O32" s="20">
        <f>CF!L6/1000000</f>
        <v>0</v>
      </c>
      <c r="P32" s="21">
        <f>CF!M6/1000000</f>
        <v>0</v>
      </c>
      <c r="Q32" s="30">
        <f>IF(ISBLANK(U32), AVERAGE(K32:O32), U32)</f>
        <v>0</v>
      </c>
      <c r="R32" s="31">
        <f>IF(ISBLANK(V32), AVERAGE(L32:O32,Q32), V32)</f>
        <v>0</v>
      </c>
      <c r="S32" s="31">
        <f>IF(ISBLANK(W32), AVERAGE(M32:O32,Q32:R32), W32)</f>
        <v>0</v>
      </c>
      <c r="T32" s="1"/>
      <c r="U32" s="22"/>
      <c r="V32" s="22"/>
      <c r="W32" s="22"/>
      <c r="X32" s="1"/>
    </row>
    <row r="33" spans="1:26" ht="15">
      <c r="A33" s="1"/>
      <c r="B33" s="208" t="s">
        <v>58</v>
      </c>
      <c r="C33" s="206"/>
      <c r="D33" s="1"/>
      <c r="E33" s="1"/>
      <c r="F33" s="24" t="e">
        <f t="shared" ref="F33:S33" si="8">F32/F22</f>
        <v>#DIV/0!</v>
      </c>
      <c r="G33" s="24" t="e">
        <f t="shared" si="8"/>
        <v>#DIV/0!</v>
      </c>
      <c r="H33" s="24" t="e">
        <f t="shared" si="8"/>
        <v>#DIV/0!</v>
      </c>
      <c r="I33" s="24" t="e">
        <f t="shared" si="8"/>
        <v>#DIV/0!</v>
      </c>
      <c r="J33" s="24" t="e">
        <f t="shared" si="8"/>
        <v>#DIV/0!</v>
      </c>
      <c r="K33" s="24" t="e">
        <f t="shared" si="8"/>
        <v>#DIV/0!</v>
      </c>
      <c r="L33" s="24" t="e">
        <f t="shared" si="8"/>
        <v>#DIV/0!</v>
      </c>
      <c r="M33" s="24" t="e">
        <f t="shared" si="8"/>
        <v>#DIV/0!</v>
      </c>
      <c r="N33" s="24" t="e">
        <f t="shared" si="8"/>
        <v>#DIV/0!</v>
      </c>
      <c r="O33" s="24" t="e">
        <f t="shared" si="8"/>
        <v>#DIV/0!</v>
      </c>
      <c r="P33" s="25" t="e">
        <f t="shared" si="8"/>
        <v>#DIV/0!</v>
      </c>
      <c r="Q33" s="25" t="e">
        <f t="shared" si="8"/>
        <v>#VALUE!</v>
      </c>
      <c r="R33" s="24" t="e">
        <f t="shared" si="8"/>
        <v>#VALUE!</v>
      </c>
      <c r="S33" s="24" t="e">
        <f t="shared" si="8"/>
        <v>#VALUE!</v>
      </c>
      <c r="T33" s="1"/>
      <c r="U33" s="28"/>
      <c r="V33" s="28"/>
      <c r="W33" s="28"/>
      <c r="X33" s="1"/>
    </row>
    <row r="34" spans="1:26" ht="15">
      <c r="A34" s="1"/>
      <c r="B34" s="208" t="s">
        <v>61</v>
      </c>
      <c r="C34" s="206"/>
      <c r="D34" s="1"/>
      <c r="E34" s="1"/>
      <c r="F34" s="24" t="e">
        <f t="shared" ref="F34:P34" si="9">F32/F36</f>
        <v>#DIV/0!</v>
      </c>
      <c r="G34" s="24" t="e">
        <f t="shared" si="9"/>
        <v>#DIV/0!</v>
      </c>
      <c r="H34" s="24" t="e">
        <f t="shared" si="9"/>
        <v>#DIV/0!</v>
      </c>
      <c r="I34" s="24" t="e">
        <f t="shared" si="9"/>
        <v>#DIV/0!</v>
      </c>
      <c r="J34" s="24" t="e">
        <f t="shared" si="9"/>
        <v>#DIV/0!</v>
      </c>
      <c r="K34" s="24" t="e">
        <f t="shared" si="9"/>
        <v>#DIV/0!</v>
      </c>
      <c r="L34" s="24" t="e">
        <f t="shared" si="9"/>
        <v>#DIV/0!</v>
      </c>
      <c r="M34" s="24" t="e">
        <f t="shared" si="9"/>
        <v>#DIV/0!</v>
      </c>
      <c r="N34" s="24" t="e">
        <f t="shared" si="9"/>
        <v>#DIV/0!</v>
      </c>
      <c r="O34" s="24" t="e">
        <f t="shared" si="9"/>
        <v>#DIV/0!</v>
      </c>
      <c r="P34" s="25" t="e">
        <f t="shared" si="9"/>
        <v>#DIV/0!</v>
      </c>
      <c r="Q34" s="29"/>
      <c r="R34" s="1"/>
      <c r="T34" s="1"/>
      <c r="U34" s="28"/>
      <c r="V34" s="28"/>
      <c r="W34" s="28"/>
      <c r="X34" s="1"/>
    </row>
    <row r="35" spans="1:26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P35" s="27"/>
      <c r="Q35" s="29"/>
      <c r="R35" s="1"/>
      <c r="T35" s="1"/>
      <c r="U35" s="28"/>
      <c r="V35" s="28"/>
      <c r="W35" s="28"/>
      <c r="X35" s="1"/>
    </row>
    <row r="36" spans="1:26" ht="15">
      <c r="A36" s="1"/>
      <c r="B36" s="205" t="s">
        <v>62</v>
      </c>
      <c r="C36" s="206"/>
      <c r="D36" s="1"/>
      <c r="E36" s="1"/>
      <c r="F36" s="20">
        <f>-(CF!C39)/1000000</f>
        <v>0</v>
      </c>
      <c r="G36" s="20">
        <f>-(CF!D39)/1000000</f>
        <v>0</v>
      </c>
      <c r="H36" s="20">
        <f>-(CF!E39)/1000000</f>
        <v>0</v>
      </c>
      <c r="I36" s="20">
        <f>-(CF!F39)/1000000</f>
        <v>0</v>
      </c>
      <c r="J36" s="20">
        <f>-(CF!G39)/1000000</f>
        <v>0</v>
      </c>
      <c r="K36" s="20">
        <f>-(CF!H39)/1000000</f>
        <v>0</v>
      </c>
      <c r="L36" s="20">
        <f>-(CF!I39)/1000000</f>
        <v>0</v>
      </c>
      <c r="M36" s="20">
        <f>-(CF!J39)/1000000</f>
        <v>0</v>
      </c>
      <c r="N36" s="20">
        <f>-(CF!K39)/1000000</f>
        <v>0</v>
      </c>
      <c r="O36" s="20">
        <f>-(CF!L39)/1000000</f>
        <v>0</v>
      </c>
      <c r="P36" s="21">
        <f>-(CF!M39)/1000000</f>
        <v>0</v>
      </c>
      <c r="Q36" s="30">
        <f>IF(ISBLANK(U36), AVERAGE(K36:O36), U36)</f>
        <v>0</v>
      </c>
      <c r="R36" s="31">
        <f>IF(ISBLANK(V36), AVERAGE(L36:$O36,Q36), V36)</f>
        <v>0</v>
      </c>
      <c r="S36" s="31">
        <f>IF(ISBLANK(W36), AVERAGE(M36:$O36,Q36:R36), W36)</f>
        <v>0</v>
      </c>
      <c r="T36" s="1"/>
      <c r="U36" s="22"/>
      <c r="V36" s="22"/>
      <c r="W36" s="22"/>
      <c r="X36" s="1"/>
    </row>
    <row r="37" spans="1:26" ht="15">
      <c r="A37" s="1"/>
      <c r="B37" s="208" t="s">
        <v>58</v>
      </c>
      <c r="C37" s="206"/>
      <c r="D37" s="1"/>
      <c r="E37" s="1"/>
      <c r="F37" s="24" t="e">
        <f t="shared" ref="F37:S37" si="10">F36/F22</f>
        <v>#DIV/0!</v>
      </c>
      <c r="G37" s="24" t="e">
        <f t="shared" si="10"/>
        <v>#DIV/0!</v>
      </c>
      <c r="H37" s="24" t="e">
        <f t="shared" si="10"/>
        <v>#DIV/0!</v>
      </c>
      <c r="I37" s="24" t="e">
        <f t="shared" si="10"/>
        <v>#DIV/0!</v>
      </c>
      <c r="J37" s="24" t="e">
        <f t="shared" si="10"/>
        <v>#DIV/0!</v>
      </c>
      <c r="K37" s="24" t="e">
        <f t="shared" si="10"/>
        <v>#DIV/0!</v>
      </c>
      <c r="L37" s="24" t="e">
        <f t="shared" si="10"/>
        <v>#DIV/0!</v>
      </c>
      <c r="M37" s="24" t="e">
        <f t="shared" si="10"/>
        <v>#DIV/0!</v>
      </c>
      <c r="N37" s="24" t="e">
        <f t="shared" si="10"/>
        <v>#DIV/0!</v>
      </c>
      <c r="O37" s="24" t="e">
        <f t="shared" si="10"/>
        <v>#DIV/0!</v>
      </c>
      <c r="P37" s="25" t="e">
        <f t="shared" si="10"/>
        <v>#DIV/0!</v>
      </c>
      <c r="Q37" s="25" t="e">
        <f t="shared" si="10"/>
        <v>#VALUE!</v>
      </c>
      <c r="R37" s="24" t="e">
        <f t="shared" si="10"/>
        <v>#VALUE!</v>
      </c>
      <c r="S37" s="24" t="e">
        <f t="shared" si="10"/>
        <v>#VALUE!</v>
      </c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P38" s="27"/>
      <c r="Q38" s="29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205" t="s">
        <v>63</v>
      </c>
      <c r="C39" s="206"/>
      <c r="D39" s="1"/>
      <c r="E39" s="1"/>
      <c r="F39" s="32">
        <f>CF!C13/1000000</f>
        <v>0</v>
      </c>
      <c r="G39" s="32">
        <f>CF!D13/1000000</f>
        <v>0</v>
      </c>
      <c r="H39" s="32">
        <f>CF!E13/1000000</f>
        <v>0</v>
      </c>
      <c r="I39" s="32">
        <f>CF!F13/1000000</f>
        <v>0</v>
      </c>
      <c r="J39" s="32">
        <f>CF!G13/1000000</f>
        <v>0</v>
      </c>
      <c r="K39" s="32">
        <f>CF!H13/1000000</f>
        <v>0</v>
      </c>
      <c r="L39" s="32">
        <f>CF!I13/1000000</f>
        <v>0</v>
      </c>
      <c r="M39" s="32">
        <f>CF!J13/1000000</f>
        <v>0</v>
      </c>
      <c r="N39" s="32">
        <f>CF!K13/1000000</f>
        <v>0</v>
      </c>
      <c r="O39" s="32">
        <f>CF!L13/1000000</f>
        <v>0</v>
      </c>
      <c r="P39" s="33">
        <f>CF!M13/1000000</f>
        <v>0</v>
      </c>
      <c r="Q39" s="29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208" t="s">
        <v>58</v>
      </c>
      <c r="C40" s="206"/>
      <c r="D40" s="1"/>
      <c r="E40" s="1"/>
      <c r="F40" s="24" t="e">
        <f t="shared" ref="F40:P40" si="11">F39/F22</f>
        <v>#DIV/0!</v>
      </c>
      <c r="G40" s="24" t="e">
        <f t="shared" si="11"/>
        <v>#DIV/0!</v>
      </c>
      <c r="H40" s="24" t="e">
        <f t="shared" si="11"/>
        <v>#DIV/0!</v>
      </c>
      <c r="I40" s="24" t="e">
        <f t="shared" si="11"/>
        <v>#DIV/0!</v>
      </c>
      <c r="J40" s="24" t="e">
        <f t="shared" si="11"/>
        <v>#DIV/0!</v>
      </c>
      <c r="K40" s="24" t="e">
        <f t="shared" si="11"/>
        <v>#DIV/0!</v>
      </c>
      <c r="L40" s="24" t="e">
        <f t="shared" si="11"/>
        <v>#DIV/0!</v>
      </c>
      <c r="M40" s="24" t="e">
        <f t="shared" si="11"/>
        <v>#DIV/0!</v>
      </c>
      <c r="N40" s="24" t="e">
        <f t="shared" si="11"/>
        <v>#DIV/0!</v>
      </c>
      <c r="O40" s="24" t="e">
        <f t="shared" si="11"/>
        <v>#DIV/0!</v>
      </c>
      <c r="P40" s="25" t="e">
        <f t="shared" si="11"/>
        <v>#DIV/0!</v>
      </c>
      <c r="Q40" s="29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208" t="s">
        <v>64</v>
      </c>
      <c r="C41" s="206"/>
      <c r="D41" s="1"/>
      <c r="E41" s="1"/>
      <c r="F41" s="23"/>
      <c r="G41" s="24" t="e">
        <f t="shared" ref="G41:O41" si="12">G39/(G22-F22)</f>
        <v>#DIV/0!</v>
      </c>
      <c r="H41" s="24" t="e">
        <f t="shared" si="12"/>
        <v>#DIV/0!</v>
      </c>
      <c r="I41" s="24" t="e">
        <f t="shared" si="12"/>
        <v>#DIV/0!</v>
      </c>
      <c r="J41" s="24" t="e">
        <f t="shared" si="12"/>
        <v>#DIV/0!</v>
      </c>
      <c r="K41" s="24" t="e">
        <f t="shared" si="12"/>
        <v>#DIV/0!</v>
      </c>
      <c r="L41" s="24" t="e">
        <f t="shared" si="12"/>
        <v>#DIV/0!</v>
      </c>
      <c r="M41" s="24" t="e">
        <f t="shared" si="12"/>
        <v>#DIV/0!</v>
      </c>
      <c r="N41" s="24" t="e">
        <f t="shared" si="12"/>
        <v>#DIV/0!</v>
      </c>
      <c r="O41" s="24" t="e">
        <f t="shared" si="12"/>
        <v>#DIV/0!</v>
      </c>
      <c r="P41" s="25"/>
      <c r="Q41" s="29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P42" s="27"/>
      <c r="Q42" s="34">
        <v>1</v>
      </c>
      <c r="R42" s="35">
        <v>2</v>
      </c>
      <c r="S42" s="35">
        <v>3</v>
      </c>
      <c r="T42" s="35">
        <v>4</v>
      </c>
      <c r="U42" s="35">
        <v>5</v>
      </c>
      <c r="V42" s="35">
        <v>6</v>
      </c>
      <c r="W42" s="35">
        <v>7</v>
      </c>
      <c r="X42" s="35">
        <v>8</v>
      </c>
      <c r="Y42" s="35">
        <v>9</v>
      </c>
      <c r="Z42" s="35">
        <v>10</v>
      </c>
    </row>
    <row r="43" spans="1:26" ht="15">
      <c r="A43" s="1" t="s">
        <v>32</v>
      </c>
      <c r="B43" s="12" t="s">
        <v>21</v>
      </c>
      <c r="C43" s="12"/>
      <c r="D43" s="12"/>
      <c r="E43" s="12"/>
      <c r="F43" s="19" t="str">
        <f t="shared" ref="F43:O43" si="13">F21</f>
        <v/>
      </c>
      <c r="G43" s="19" t="str">
        <f t="shared" si="13"/>
        <v/>
      </c>
      <c r="H43" s="19" t="str">
        <f t="shared" si="13"/>
        <v/>
      </c>
      <c r="I43" s="19" t="str">
        <f t="shared" si="13"/>
        <v/>
      </c>
      <c r="J43" s="19" t="str">
        <f t="shared" si="13"/>
        <v/>
      </c>
      <c r="K43" s="19" t="str">
        <f t="shared" si="13"/>
        <v/>
      </c>
      <c r="L43" s="19" t="str">
        <f t="shared" si="13"/>
        <v/>
      </c>
      <c r="M43" s="19" t="str">
        <f t="shared" si="13"/>
        <v/>
      </c>
      <c r="N43" s="19" t="str">
        <f t="shared" si="13"/>
        <v/>
      </c>
      <c r="O43" s="19" t="str">
        <f t="shared" si="13"/>
        <v/>
      </c>
      <c r="P43" s="19" t="s">
        <v>54</v>
      </c>
      <c r="Q43" s="19" t="e">
        <f t="shared" ref="Q43:S43" si="14">Q21</f>
        <v>#VALUE!</v>
      </c>
      <c r="R43" s="19" t="e">
        <f t="shared" si="14"/>
        <v>#VALUE!</v>
      </c>
      <c r="S43" s="19" t="e">
        <f t="shared" si="14"/>
        <v>#VALUE!</v>
      </c>
      <c r="T43" s="19" t="e">
        <f t="shared" ref="T43:Z43" si="15">S43+1</f>
        <v>#VALUE!</v>
      </c>
      <c r="U43" s="19" t="e">
        <f t="shared" si="15"/>
        <v>#VALUE!</v>
      </c>
      <c r="V43" s="19" t="e">
        <f t="shared" si="15"/>
        <v>#VALUE!</v>
      </c>
      <c r="W43" s="19" t="e">
        <f t="shared" si="15"/>
        <v>#VALUE!</v>
      </c>
      <c r="X43" s="19" t="e">
        <f t="shared" si="15"/>
        <v>#VALUE!</v>
      </c>
      <c r="Y43" s="19" t="e">
        <f t="shared" si="15"/>
        <v>#VALUE!</v>
      </c>
      <c r="Z43" s="19" t="e">
        <f t="shared" si="15"/>
        <v>#VALUE!</v>
      </c>
    </row>
    <row r="44" spans="1:26" ht="15">
      <c r="A44" s="1"/>
      <c r="B44" s="1" t="s">
        <v>55</v>
      </c>
      <c r="C44" s="1"/>
      <c r="D44" s="1"/>
      <c r="E44" s="1"/>
      <c r="F44" s="36">
        <f t="shared" ref="F44:P44" si="16">F22</f>
        <v>0</v>
      </c>
      <c r="G44" s="36">
        <f t="shared" si="16"/>
        <v>0</v>
      </c>
      <c r="H44" s="36">
        <f t="shared" si="16"/>
        <v>0</v>
      </c>
      <c r="I44" s="36">
        <f t="shared" si="16"/>
        <v>0</v>
      </c>
      <c r="J44" s="36">
        <f t="shared" si="16"/>
        <v>0</v>
      </c>
      <c r="K44" s="36">
        <f t="shared" si="16"/>
        <v>0</v>
      </c>
      <c r="L44" s="36">
        <f t="shared" si="16"/>
        <v>0</v>
      </c>
      <c r="M44" s="36">
        <f t="shared" si="16"/>
        <v>0</v>
      </c>
      <c r="N44" s="36">
        <f t="shared" si="16"/>
        <v>0</v>
      </c>
      <c r="O44" s="36">
        <f t="shared" si="16"/>
        <v>0</v>
      </c>
      <c r="P44" s="37">
        <f t="shared" si="16"/>
        <v>0</v>
      </c>
      <c r="Q44" s="38" t="e">
        <f ca="1">O44*(1+Q45)</f>
        <v>#VALUE!</v>
      </c>
      <c r="R44" s="38" t="e">
        <f t="shared" ref="R44:Z44" ca="1" si="17">Q44*(1+R45)</f>
        <v>#VALUE!</v>
      </c>
      <c r="S44" s="38" t="e">
        <f t="shared" ca="1" si="17"/>
        <v>#VALUE!</v>
      </c>
      <c r="T44" s="38" t="e">
        <f t="shared" ca="1" si="17"/>
        <v>#VALUE!</v>
      </c>
      <c r="U44" s="38" t="e">
        <f t="shared" ca="1" si="17"/>
        <v>#VALUE!</v>
      </c>
      <c r="V44" s="38" t="e">
        <f t="shared" ca="1" si="17"/>
        <v>#VALUE!</v>
      </c>
      <c r="W44" s="38" t="e">
        <f t="shared" ca="1" si="17"/>
        <v>#VALUE!</v>
      </c>
      <c r="X44" s="38" t="e">
        <f t="shared" ca="1" si="17"/>
        <v>#VALUE!</v>
      </c>
      <c r="Y44" s="38" t="e">
        <f t="shared" ca="1" si="17"/>
        <v>#VALUE!</v>
      </c>
      <c r="Z44" s="38" t="e">
        <f t="shared" ca="1" si="17"/>
        <v>#VALUE!</v>
      </c>
    </row>
    <row r="45" spans="1:26" ht="15">
      <c r="A45" s="1"/>
      <c r="B45" s="23" t="s">
        <v>56</v>
      </c>
      <c r="C45" s="1"/>
      <c r="D45" s="1"/>
      <c r="E45" s="1"/>
      <c r="F45" s="1"/>
      <c r="G45" s="39" t="e">
        <f t="shared" ref="G45:O45" si="18">G44/F44-1</f>
        <v>#DIV/0!</v>
      </c>
      <c r="H45" s="39" t="e">
        <f t="shared" si="18"/>
        <v>#DIV/0!</v>
      </c>
      <c r="I45" s="39" t="e">
        <f t="shared" si="18"/>
        <v>#DIV/0!</v>
      </c>
      <c r="J45" s="39" t="e">
        <f t="shared" si="18"/>
        <v>#DIV/0!</v>
      </c>
      <c r="K45" s="39" t="e">
        <f t="shared" si="18"/>
        <v>#DIV/0!</v>
      </c>
      <c r="L45" s="39" t="e">
        <f t="shared" si="18"/>
        <v>#DIV/0!</v>
      </c>
      <c r="M45" s="39" t="e">
        <f t="shared" si="18"/>
        <v>#DIV/0!</v>
      </c>
      <c r="N45" s="39" t="e">
        <f t="shared" si="18"/>
        <v>#DIV/0!</v>
      </c>
      <c r="O45" s="39" t="e">
        <f t="shared" si="18"/>
        <v>#DIV/0!</v>
      </c>
      <c r="P45" s="40"/>
      <c r="Q45" s="25" t="e">
        <f t="shared" ref="Q45:Z45" ca="1" si="19">OFFSET(Q45,$D$9,0)</f>
        <v>#VALUE!</v>
      </c>
      <c r="R45" s="25" t="e">
        <f t="shared" ca="1" si="19"/>
        <v>#VALUE!</v>
      </c>
      <c r="S45" s="25" t="e">
        <f t="shared" ca="1" si="19"/>
        <v>#VALUE!</v>
      </c>
      <c r="T45" s="41" t="e">
        <f t="shared" ca="1" si="19"/>
        <v>#VALUE!</v>
      </c>
      <c r="U45" s="41" t="e">
        <f t="shared" ca="1" si="19"/>
        <v>#VALUE!</v>
      </c>
      <c r="V45" s="41" t="e">
        <f t="shared" ca="1" si="19"/>
        <v>#VALUE!</v>
      </c>
      <c r="W45" s="41" t="e">
        <f t="shared" ca="1" si="19"/>
        <v>#VALUE!</v>
      </c>
      <c r="X45" s="41" t="e">
        <f t="shared" ca="1" si="19"/>
        <v>#VALUE!</v>
      </c>
      <c r="Y45" s="41" t="e">
        <f t="shared" ca="1" si="19"/>
        <v>#VALUE!</v>
      </c>
      <c r="Z45" s="40">
        <f t="shared" ca="1" si="19"/>
        <v>0.05</v>
      </c>
    </row>
    <row r="46" spans="1:26" ht="15">
      <c r="A46" s="1"/>
      <c r="B46" s="205" t="s">
        <v>41</v>
      </c>
      <c r="C46" s="206"/>
      <c r="D46" s="1"/>
      <c r="E46" s="1"/>
      <c r="F46" s="1"/>
      <c r="G46" s="1"/>
      <c r="H46" s="1"/>
      <c r="I46" s="1"/>
      <c r="J46" s="1"/>
      <c r="K46" s="1"/>
      <c r="L46" s="1"/>
      <c r="P46" s="27"/>
      <c r="Q46" s="42" t="e">
        <f>H9</f>
        <v>#VALUE!</v>
      </c>
      <c r="R46" s="43" t="e">
        <f t="shared" ref="R46:S46" si="20">Q46-(Q47-R47)</f>
        <v>#VALUE!</v>
      </c>
      <c r="S46" s="43" t="e">
        <f t="shared" si="20"/>
        <v>#VALUE!</v>
      </c>
      <c r="T46" s="43" t="e">
        <f t="shared" ref="T46:Y46" si="21">S46-(($S$46-$Z$46)/($Z$43-$S$43))</f>
        <v>#VALUE!</v>
      </c>
      <c r="U46" s="43" t="e">
        <f t="shared" si="21"/>
        <v>#VALUE!</v>
      </c>
      <c r="V46" s="43" t="e">
        <f t="shared" si="21"/>
        <v>#VALUE!</v>
      </c>
      <c r="W46" s="43" t="e">
        <f t="shared" si="21"/>
        <v>#VALUE!</v>
      </c>
      <c r="X46" s="43" t="e">
        <f t="shared" si="21"/>
        <v>#VALUE!</v>
      </c>
      <c r="Y46" s="43" t="e">
        <f t="shared" si="21"/>
        <v>#VALUE!</v>
      </c>
      <c r="Z46" s="44">
        <f>H10</f>
        <v>0.03</v>
      </c>
    </row>
    <row r="47" spans="1:26" ht="15">
      <c r="A47" s="1"/>
      <c r="B47" s="205" t="s">
        <v>65</v>
      </c>
      <c r="C47" s="206"/>
      <c r="D47" s="206"/>
      <c r="E47" s="1"/>
      <c r="F47" s="1"/>
      <c r="G47" s="1"/>
      <c r="H47" s="1"/>
      <c r="I47" s="1"/>
      <c r="J47" s="1"/>
      <c r="K47" s="1"/>
      <c r="L47" s="1"/>
      <c r="P47" s="27"/>
      <c r="Q47" s="45" t="e">
        <f t="shared" ref="Q47:S47" si="22">Q23</f>
        <v>#VALUE!</v>
      </c>
      <c r="R47" s="45" t="e">
        <f t="shared" si="22"/>
        <v>#VALUE!</v>
      </c>
      <c r="S47" s="45" t="e">
        <f t="shared" si="22"/>
        <v>#VALUE!</v>
      </c>
      <c r="T47" s="43" t="e">
        <f t="shared" ref="T47:Y47" si="23">S47-(($S$47-$Z$47)/($Z$43-$S$43))</f>
        <v>#VALUE!</v>
      </c>
      <c r="U47" s="46" t="e">
        <f t="shared" si="23"/>
        <v>#VALUE!</v>
      </c>
      <c r="V47" s="46" t="e">
        <f t="shared" si="23"/>
        <v>#VALUE!</v>
      </c>
      <c r="W47" s="46" t="e">
        <f t="shared" si="23"/>
        <v>#VALUE!</v>
      </c>
      <c r="X47" s="46" t="e">
        <f t="shared" si="23"/>
        <v>#VALUE!</v>
      </c>
      <c r="Y47" s="46" t="e">
        <f t="shared" si="23"/>
        <v>#VALUE!</v>
      </c>
      <c r="Z47" s="47">
        <f>L10</f>
        <v>0.05</v>
      </c>
    </row>
    <row r="48" spans="1:26" ht="15">
      <c r="A48" s="1"/>
      <c r="B48" s="205" t="s">
        <v>43</v>
      </c>
      <c r="C48" s="206"/>
      <c r="D48" s="1"/>
      <c r="E48" s="1"/>
      <c r="F48" s="1"/>
      <c r="G48" s="1"/>
      <c r="H48" s="1"/>
      <c r="I48" s="1"/>
      <c r="J48" s="1"/>
      <c r="K48" s="1"/>
      <c r="L48" s="1"/>
      <c r="P48" s="27"/>
      <c r="Q48" s="42" t="e">
        <f>P9</f>
        <v>#VALUE!</v>
      </c>
      <c r="R48" s="43" t="e">
        <f t="shared" ref="R48:S48" si="24">Q48+(R47-Q47)</f>
        <v>#VALUE!</v>
      </c>
      <c r="S48" s="43" t="e">
        <f t="shared" si="24"/>
        <v>#VALUE!</v>
      </c>
      <c r="T48" s="43" t="e">
        <f t="shared" ref="T48:Y48" si="25">S48-(($S$48-$Z$48)/($Z$43-$S$43))</f>
        <v>#VALUE!</v>
      </c>
      <c r="U48" s="46" t="e">
        <f t="shared" si="25"/>
        <v>#VALUE!</v>
      </c>
      <c r="V48" s="46" t="e">
        <f t="shared" si="25"/>
        <v>#VALUE!</v>
      </c>
      <c r="W48" s="46" t="e">
        <f t="shared" si="25"/>
        <v>#VALUE!</v>
      </c>
      <c r="X48" s="46" t="e">
        <f t="shared" si="25"/>
        <v>#VALUE!</v>
      </c>
      <c r="Y48" s="46" t="e">
        <f t="shared" si="25"/>
        <v>#VALUE!</v>
      </c>
      <c r="Z48" s="47">
        <f>P10</f>
        <v>7.0000000000000007E-2</v>
      </c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P49" s="27"/>
      <c r="Q49" s="34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">
      <c r="A50" s="1"/>
      <c r="B50" s="1" t="s">
        <v>57</v>
      </c>
      <c r="C50" s="1"/>
      <c r="D50" s="1"/>
      <c r="E50" s="1"/>
      <c r="F50" s="36">
        <f t="shared" ref="F50:P50" si="26">F25</f>
        <v>0</v>
      </c>
      <c r="G50" s="36">
        <f t="shared" si="26"/>
        <v>0</v>
      </c>
      <c r="H50" s="36">
        <f t="shared" si="26"/>
        <v>0</v>
      </c>
      <c r="I50" s="36">
        <f t="shared" si="26"/>
        <v>0</v>
      </c>
      <c r="J50" s="36">
        <f t="shared" si="26"/>
        <v>0</v>
      </c>
      <c r="K50" s="36">
        <f t="shared" si="26"/>
        <v>0</v>
      </c>
      <c r="L50" s="36">
        <f t="shared" si="26"/>
        <v>0</v>
      </c>
      <c r="M50" s="36">
        <f t="shared" si="26"/>
        <v>0</v>
      </c>
      <c r="N50" s="36">
        <f t="shared" si="26"/>
        <v>0</v>
      </c>
      <c r="O50" s="36">
        <f t="shared" si="26"/>
        <v>0</v>
      </c>
      <c r="P50" s="37">
        <f t="shared" si="26"/>
        <v>0</v>
      </c>
      <c r="Q50" s="38" t="e">
        <f t="shared" ref="Q50:Z50" ca="1" si="27">Q51*Q44</f>
        <v>#DIV/0!</v>
      </c>
      <c r="R50" s="38" t="e">
        <f t="shared" ca="1" si="27"/>
        <v>#DIV/0!</v>
      </c>
      <c r="S50" s="38" t="e">
        <f t="shared" ca="1" si="27"/>
        <v>#DIV/0!</v>
      </c>
      <c r="T50" s="38" t="e">
        <f t="shared" ca="1" si="27"/>
        <v>#DIV/0!</v>
      </c>
      <c r="U50" s="38" t="e">
        <f t="shared" ca="1" si="27"/>
        <v>#DIV/0!</v>
      </c>
      <c r="V50" s="38" t="e">
        <f t="shared" ca="1" si="27"/>
        <v>#DIV/0!</v>
      </c>
      <c r="W50" s="38" t="e">
        <f t="shared" ca="1" si="27"/>
        <v>#DIV/0!</v>
      </c>
      <c r="X50" s="38" t="e">
        <f t="shared" ca="1" si="27"/>
        <v>#DIV/0!</v>
      </c>
      <c r="Y50" s="38" t="e">
        <f t="shared" ca="1" si="27"/>
        <v>#DIV/0!</v>
      </c>
      <c r="Z50" s="38" t="e">
        <f t="shared" ca="1" si="27"/>
        <v>#DIV/0!</v>
      </c>
    </row>
    <row r="51" spans="1:26" ht="15">
      <c r="A51" s="1"/>
      <c r="B51" s="23" t="s">
        <v>66</v>
      </c>
      <c r="C51" s="1"/>
      <c r="D51" s="1"/>
      <c r="E51" s="1"/>
      <c r="F51" s="39" t="e">
        <f t="shared" ref="F51:P51" si="28">F50/F44</f>
        <v>#DIV/0!</v>
      </c>
      <c r="G51" s="39" t="e">
        <f t="shared" si="28"/>
        <v>#DIV/0!</v>
      </c>
      <c r="H51" s="39" t="e">
        <f t="shared" si="28"/>
        <v>#DIV/0!</v>
      </c>
      <c r="I51" s="39" t="e">
        <f t="shared" si="28"/>
        <v>#DIV/0!</v>
      </c>
      <c r="J51" s="39" t="e">
        <f t="shared" si="28"/>
        <v>#DIV/0!</v>
      </c>
      <c r="K51" s="39" t="e">
        <f t="shared" si="28"/>
        <v>#DIV/0!</v>
      </c>
      <c r="L51" s="39" t="e">
        <f t="shared" si="28"/>
        <v>#DIV/0!</v>
      </c>
      <c r="M51" s="39" t="e">
        <f t="shared" si="28"/>
        <v>#DIV/0!</v>
      </c>
      <c r="N51" s="39" t="e">
        <f t="shared" si="28"/>
        <v>#DIV/0!</v>
      </c>
      <c r="O51" s="39" t="e">
        <f t="shared" si="28"/>
        <v>#DIV/0!</v>
      </c>
      <c r="P51" s="40" t="e">
        <f t="shared" si="28"/>
        <v>#DIV/0!</v>
      </c>
      <c r="Q51" s="25" t="e">
        <f t="shared" ref="Q51:Z51" ca="1" si="29">OFFSET(Q51,$D$10,0)</f>
        <v>#DIV/0!</v>
      </c>
      <c r="R51" s="25" t="e">
        <f t="shared" ca="1" si="29"/>
        <v>#DIV/0!</v>
      </c>
      <c r="S51" s="25" t="e">
        <f t="shared" ca="1" si="29"/>
        <v>#DIV/0!</v>
      </c>
      <c r="T51" s="25" t="e">
        <f t="shared" ca="1" si="29"/>
        <v>#DIV/0!</v>
      </c>
      <c r="U51" s="25" t="e">
        <f t="shared" ca="1" si="29"/>
        <v>#DIV/0!</v>
      </c>
      <c r="V51" s="25" t="e">
        <f t="shared" ca="1" si="29"/>
        <v>#DIV/0!</v>
      </c>
      <c r="W51" s="25" t="e">
        <f t="shared" ca="1" si="29"/>
        <v>#DIV/0!</v>
      </c>
      <c r="X51" s="25" t="e">
        <f t="shared" ca="1" si="29"/>
        <v>#DIV/0!</v>
      </c>
      <c r="Y51" s="25" t="e">
        <f t="shared" ca="1" si="29"/>
        <v>#DIV/0!</v>
      </c>
      <c r="Z51" s="25" t="e">
        <f t="shared" ca="1" si="29"/>
        <v>#DIV/0!</v>
      </c>
    </row>
    <row r="52" spans="1:26" ht="15">
      <c r="A52" s="1"/>
      <c r="B52" s="205" t="s">
        <v>41</v>
      </c>
      <c r="C52" s="206"/>
      <c r="D52" s="1"/>
      <c r="E52" s="1"/>
      <c r="F52" s="1"/>
      <c r="G52" s="1"/>
      <c r="H52" s="1"/>
      <c r="I52" s="1"/>
      <c r="J52" s="1"/>
      <c r="K52" s="1"/>
      <c r="L52" s="1"/>
      <c r="P52" s="27"/>
      <c r="Q52" s="48" t="e">
        <f>H11</f>
        <v>#DIV/0!</v>
      </c>
      <c r="R52" s="49" t="e">
        <f>Q52+(R53-Q53)</f>
        <v>#DIV/0!</v>
      </c>
      <c r="S52" s="50" t="e">
        <f t="shared" ref="S52:Z52" si="30">R52</f>
        <v>#DIV/0!</v>
      </c>
      <c r="T52" s="50" t="e">
        <f t="shared" si="30"/>
        <v>#DIV/0!</v>
      </c>
      <c r="U52" s="50" t="e">
        <f t="shared" si="30"/>
        <v>#DIV/0!</v>
      </c>
      <c r="V52" s="50" t="e">
        <f t="shared" si="30"/>
        <v>#DIV/0!</v>
      </c>
      <c r="W52" s="50" t="e">
        <f t="shared" si="30"/>
        <v>#DIV/0!</v>
      </c>
      <c r="X52" s="50" t="e">
        <f t="shared" si="30"/>
        <v>#DIV/0!</v>
      </c>
      <c r="Y52" s="50" t="e">
        <f t="shared" si="30"/>
        <v>#DIV/0!</v>
      </c>
      <c r="Z52" s="50" t="e">
        <f t="shared" si="30"/>
        <v>#DIV/0!</v>
      </c>
    </row>
    <row r="53" spans="1:26" ht="15">
      <c r="A53" s="1"/>
      <c r="B53" s="205" t="s">
        <v>65</v>
      </c>
      <c r="C53" s="206"/>
      <c r="D53" s="206"/>
      <c r="E53" s="1"/>
      <c r="F53" s="1"/>
      <c r="G53" s="1"/>
      <c r="H53" s="1"/>
      <c r="I53" s="1"/>
      <c r="J53" s="1"/>
      <c r="K53" s="1"/>
      <c r="L53" s="1"/>
      <c r="P53" s="27"/>
      <c r="Q53" s="51" t="e">
        <f t="shared" ref="Q53:S53" si="31">Q26</f>
        <v>#DIV/0!</v>
      </c>
      <c r="R53" s="51" t="e">
        <f t="shared" si="31"/>
        <v>#DIV/0!</v>
      </c>
      <c r="S53" s="51" t="e">
        <f t="shared" si="31"/>
        <v>#DIV/0!</v>
      </c>
      <c r="T53" s="52" t="e">
        <f t="shared" ref="T53:Z53" si="32">S53</f>
        <v>#DIV/0!</v>
      </c>
      <c r="U53" s="52" t="e">
        <f t="shared" si="32"/>
        <v>#DIV/0!</v>
      </c>
      <c r="V53" s="52" t="e">
        <f t="shared" si="32"/>
        <v>#DIV/0!</v>
      </c>
      <c r="W53" s="52" t="e">
        <f t="shared" si="32"/>
        <v>#DIV/0!</v>
      </c>
      <c r="X53" s="52" t="e">
        <f t="shared" si="32"/>
        <v>#DIV/0!</v>
      </c>
      <c r="Y53" s="52" t="e">
        <f t="shared" si="32"/>
        <v>#DIV/0!</v>
      </c>
      <c r="Z53" s="52" t="e">
        <f t="shared" si="32"/>
        <v>#DIV/0!</v>
      </c>
    </row>
    <row r="54" spans="1:26" ht="15">
      <c r="A54" s="1"/>
      <c r="B54" s="205" t="s">
        <v>43</v>
      </c>
      <c r="C54" s="206"/>
      <c r="D54" s="1"/>
      <c r="E54" s="1"/>
      <c r="F54" s="1"/>
      <c r="G54" s="1"/>
      <c r="H54" s="1"/>
      <c r="I54" s="1"/>
      <c r="J54" s="1"/>
      <c r="K54" s="1"/>
      <c r="L54" s="1"/>
      <c r="P54" s="27"/>
      <c r="Q54" s="53" t="e">
        <f>P11</f>
        <v>#DIV/0!</v>
      </c>
      <c r="R54" s="46" t="e">
        <f t="shared" ref="R54:S54" si="33">Q54+(R53-Q53)</f>
        <v>#DIV/0!</v>
      </c>
      <c r="S54" s="46" t="e">
        <f t="shared" si="33"/>
        <v>#DIV/0!</v>
      </c>
      <c r="T54" s="54" t="e">
        <f t="shared" ref="T54:Z54" si="34">S54</f>
        <v>#DIV/0!</v>
      </c>
      <c r="U54" s="54" t="e">
        <f t="shared" si="34"/>
        <v>#DIV/0!</v>
      </c>
      <c r="V54" s="54" t="e">
        <f t="shared" si="34"/>
        <v>#DIV/0!</v>
      </c>
      <c r="W54" s="54" t="e">
        <f t="shared" si="34"/>
        <v>#DIV/0!</v>
      </c>
      <c r="X54" s="54" t="e">
        <f t="shared" si="34"/>
        <v>#DIV/0!</v>
      </c>
      <c r="Y54" s="54" t="e">
        <f t="shared" si="34"/>
        <v>#DIV/0!</v>
      </c>
      <c r="Z54" s="54" t="e">
        <f t="shared" si="34"/>
        <v>#DIV/0!</v>
      </c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P55" s="27"/>
      <c r="Q55" s="34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">
      <c r="A56" s="1"/>
      <c r="B56" s="1" t="s">
        <v>46</v>
      </c>
      <c r="C56" s="1"/>
      <c r="D56" s="1"/>
      <c r="E56" s="1"/>
      <c r="F56" s="36">
        <f t="shared" ref="F56:P56" si="35">F28</f>
        <v>0</v>
      </c>
      <c r="G56" s="36">
        <f t="shared" si="35"/>
        <v>0</v>
      </c>
      <c r="H56" s="36">
        <f t="shared" si="35"/>
        <v>0</v>
      </c>
      <c r="I56" s="36">
        <f t="shared" si="35"/>
        <v>0</v>
      </c>
      <c r="J56" s="36">
        <f t="shared" si="35"/>
        <v>0</v>
      </c>
      <c r="K56" s="36">
        <f t="shared" si="35"/>
        <v>0</v>
      </c>
      <c r="L56" s="36">
        <f t="shared" si="35"/>
        <v>0</v>
      </c>
      <c r="M56" s="36">
        <f t="shared" si="35"/>
        <v>0</v>
      </c>
      <c r="N56" s="36">
        <f t="shared" si="35"/>
        <v>0</v>
      </c>
      <c r="O56" s="36">
        <f t="shared" si="35"/>
        <v>0</v>
      </c>
      <c r="P56" s="37">
        <f t="shared" si="35"/>
        <v>0</v>
      </c>
      <c r="Q56" s="38" t="e">
        <f t="shared" ref="Q56:Z56" ca="1" si="36">Q57*Q50</f>
        <v>#DIV/0!</v>
      </c>
      <c r="R56" s="38" t="e">
        <f t="shared" ca="1" si="36"/>
        <v>#DIV/0!</v>
      </c>
      <c r="S56" s="38" t="e">
        <f t="shared" ca="1" si="36"/>
        <v>#DIV/0!</v>
      </c>
      <c r="T56" s="38" t="e">
        <f t="shared" ca="1" si="36"/>
        <v>#DIV/0!</v>
      </c>
      <c r="U56" s="38" t="e">
        <f t="shared" ca="1" si="36"/>
        <v>#DIV/0!</v>
      </c>
      <c r="V56" s="38" t="e">
        <f t="shared" ca="1" si="36"/>
        <v>#DIV/0!</v>
      </c>
      <c r="W56" s="38" t="e">
        <f t="shared" ca="1" si="36"/>
        <v>#DIV/0!</v>
      </c>
      <c r="X56" s="38" t="e">
        <f t="shared" ca="1" si="36"/>
        <v>#DIV/0!</v>
      </c>
      <c r="Y56" s="38" t="e">
        <f t="shared" ca="1" si="36"/>
        <v>#DIV/0!</v>
      </c>
      <c r="Z56" s="38" t="e">
        <f t="shared" ca="1" si="36"/>
        <v>#DIV/0!</v>
      </c>
    </row>
    <row r="57" spans="1:26" ht="15">
      <c r="A57" s="1"/>
      <c r="B57" s="23" t="s">
        <v>59</v>
      </c>
      <c r="C57" s="1"/>
      <c r="D57" s="1"/>
      <c r="E57" s="1"/>
      <c r="F57" s="39" t="e">
        <f t="shared" ref="F57:P57" si="37">F56/F50</f>
        <v>#DIV/0!</v>
      </c>
      <c r="G57" s="39" t="e">
        <f t="shared" si="37"/>
        <v>#DIV/0!</v>
      </c>
      <c r="H57" s="39" t="e">
        <f t="shared" si="37"/>
        <v>#DIV/0!</v>
      </c>
      <c r="I57" s="39" t="e">
        <f t="shared" si="37"/>
        <v>#DIV/0!</v>
      </c>
      <c r="J57" s="39" t="e">
        <f t="shared" si="37"/>
        <v>#DIV/0!</v>
      </c>
      <c r="K57" s="39" t="e">
        <f t="shared" si="37"/>
        <v>#DIV/0!</v>
      </c>
      <c r="L57" s="39" t="e">
        <f t="shared" si="37"/>
        <v>#DIV/0!</v>
      </c>
      <c r="M57" s="39" t="e">
        <f t="shared" si="37"/>
        <v>#DIV/0!</v>
      </c>
      <c r="N57" s="39" t="e">
        <f t="shared" si="37"/>
        <v>#DIV/0!</v>
      </c>
      <c r="O57" s="39" t="e">
        <f t="shared" si="37"/>
        <v>#DIV/0!</v>
      </c>
      <c r="P57" s="40" t="e">
        <f t="shared" si="37"/>
        <v>#DIV/0!</v>
      </c>
      <c r="Q57" s="40" t="e">
        <f t="shared" ref="Q57:Z57" ca="1" si="38">OFFSET(Q57,$D$11,0)</f>
        <v>#DIV/0!</v>
      </c>
      <c r="R57" s="40" t="e">
        <f t="shared" ca="1" si="38"/>
        <v>#DIV/0!</v>
      </c>
      <c r="S57" s="40">
        <f t="shared" ca="1" si="38"/>
        <v>0.25</v>
      </c>
      <c r="T57" s="40">
        <f t="shared" ca="1" si="38"/>
        <v>0.25</v>
      </c>
      <c r="U57" s="40">
        <f t="shared" ca="1" si="38"/>
        <v>0.25</v>
      </c>
      <c r="V57" s="40">
        <f t="shared" ca="1" si="38"/>
        <v>0.25</v>
      </c>
      <c r="W57" s="40">
        <f t="shared" ca="1" si="38"/>
        <v>0.25</v>
      </c>
      <c r="X57" s="40">
        <f t="shared" ca="1" si="38"/>
        <v>0.25</v>
      </c>
      <c r="Y57" s="40">
        <f t="shared" ca="1" si="38"/>
        <v>0.25</v>
      </c>
      <c r="Z57" s="40">
        <f t="shared" ca="1" si="38"/>
        <v>0.25</v>
      </c>
    </row>
    <row r="58" spans="1:26" ht="15">
      <c r="A58" s="1"/>
      <c r="B58" s="205" t="s">
        <v>41</v>
      </c>
      <c r="C58" s="206"/>
      <c r="D58" s="1"/>
      <c r="E58" s="1"/>
      <c r="F58" s="1"/>
      <c r="G58" s="1"/>
      <c r="H58" s="1"/>
      <c r="I58" s="1"/>
      <c r="J58" s="1"/>
      <c r="K58" s="1"/>
      <c r="L58" s="1"/>
      <c r="P58" s="27"/>
      <c r="Q58" s="55" t="e">
        <f t="shared" ref="Q58:R58" si="39">Q59</f>
        <v>#DIV/0!</v>
      </c>
      <c r="R58" s="56" t="e">
        <f t="shared" si="39"/>
        <v>#DIV/0!</v>
      </c>
      <c r="S58" s="44">
        <f t="shared" ref="S58:Z58" si="40">$H$12</f>
        <v>0.25</v>
      </c>
      <c r="T58" s="44">
        <f t="shared" si="40"/>
        <v>0.25</v>
      </c>
      <c r="U58" s="44">
        <f t="shared" si="40"/>
        <v>0.25</v>
      </c>
      <c r="V58" s="44">
        <f t="shared" si="40"/>
        <v>0.25</v>
      </c>
      <c r="W58" s="44">
        <f t="shared" si="40"/>
        <v>0.25</v>
      </c>
      <c r="X58" s="44">
        <f t="shared" si="40"/>
        <v>0.25</v>
      </c>
      <c r="Y58" s="44">
        <f t="shared" si="40"/>
        <v>0.25</v>
      </c>
      <c r="Z58" s="44">
        <f t="shared" si="40"/>
        <v>0.25</v>
      </c>
    </row>
    <row r="59" spans="1:26" ht="15">
      <c r="A59" s="1"/>
      <c r="B59" s="205" t="s">
        <v>65</v>
      </c>
      <c r="C59" s="206"/>
      <c r="D59" s="206"/>
      <c r="E59" s="1"/>
      <c r="F59" s="1"/>
      <c r="G59" s="1"/>
      <c r="H59" s="1"/>
      <c r="I59" s="1"/>
      <c r="J59" s="1"/>
      <c r="K59" s="1"/>
      <c r="L59" s="1"/>
      <c r="P59" s="27"/>
      <c r="Q59" s="57" t="e">
        <f>AVERAGE(M57:O57)</f>
        <v>#DIV/0!</v>
      </c>
      <c r="R59" s="58" t="e">
        <f t="shared" ref="R59:Z59" si="41">Q59</f>
        <v>#DIV/0!</v>
      </c>
      <c r="S59" s="58" t="e">
        <f t="shared" si="41"/>
        <v>#DIV/0!</v>
      </c>
      <c r="T59" s="58" t="e">
        <f t="shared" si="41"/>
        <v>#DIV/0!</v>
      </c>
      <c r="U59" s="58" t="e">
        <f t="shared" si="41"/>
        <v>#DIV/0!</v>
      </c>
      <c r="V59" s="58" t="e">
        <f t="shared" si="41"/>
        <v>#DIV/0!</v>
      </c>
      <c r="W59" s="58" t="e">
        <f t="shared" si="41"/>
        <v>#DIV/0!</v>
      </c>
      <c r="X59" s="58" t="e">
        <f t="shared" si="41"/>
        <v>#DIV/0!</v>
      </c>
      <c r="Y59" s="58" t="e">
        <f t="shared" si="41"/>
        <v>#DIV/0!</v>
      </c>
      <c r="Z59" s="58" t="e">
        <f t="shared" si="41"/>
        <v>#DIV/0!</v>
      </c>
    </row>
    <row r="60" spans="1:26" ht="15">
      <c r="A60" s="1"/>
      <c r="B60" s="205" t="s">
        <v>43</v>
      </c>
      <c r="C60" s="206"/>
      <c r="D60" s="1"/>
      <c r="E60" s="1"/>
      <c r="F60" s="1"/>
      <c r="G60" s="1"/>
      <c r="H60" s="1"/>
      <c r="I60" s="1"/>
      <c r="J60" s="1"/>
      <c r="K60" s="1"/>
      <c r="L60" s="1"/>
      <c r="P60" s="27"/>
      <c r="Q60" s="59" t="e">
        <f t="shared" ref="Q60:R60" si="42">Q59</f>
        <v>#DIV/0!</v>
      </c>
      <c r="R60" s="58" t="e">
        <f t="shared" si="42"/>
        <v>#DIV/0!</v>
      </c>
      <c r="S60" s="47">
        <f t="shared" ref="S60:Z60" si="43">$P$12</f>
        <v>0.17</v>
      </c>
      <c r="T60" s="47">
        <f t="shared" si="43"/>
        <v>0.17</v>
      </c>
      <c r="U60" s="47">
        <f t="shared" si="43"/>
        <v>0.17</v>
      </c>
      <c r="V60" s="47">
        <f t="shared" si="43"/>
        <v>0.17</v>
      </c>
      <c r="W60" s="47">
        <f t="shared" si="43"/>
        <v>0.17</v>
      </c>
      <c r="X60" s="47">
        <f t="shared" si="43"/>
        <v>0.17</v>
      </c>
      <c r="Y60" s="47">
        <f t="shared" si="43"/>
        <v>0.17</v>
      </c>
      <c r="Z60" s="47">
        <f t="shared" si="43"/>
        <v>0.17</v>
      </c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9"/>
      <c r="Q61" s="34"/>
      <c r="R61" s="35"/>
      <c r="S61" s="35"/>
      <c r="T61" s="35"/>
      <c r="U61" s="35"/>
      <c r="V61" s="35"/>
      <c r="W61" s="35"/>
      <c r="X61" s="35"/>
      <c r="Y61" s="60"/>
      <c r="Z61" s="60"/>
    </row>
    <row r="62" spans="1:26" ht="15">
      <c r="A62" s="1"/>
      <c r="B62" s="61" t="s">
        <v>67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2" t="e">
        <f t="shared" ref="Q62:Z62" ca="1" si="44">Q50-Q56</f>
        <v>#DIV/0!</v>
      </c>
      <c r="R62" s="62" t="e">
        <f t="shared" ca="1" si="44"/>
        <v>#DIV/0!</v>
      </c>
      <c r="S62" s="62" t="e">
        <f t="shared" ca="1" si="44"/>
        <v>#DIV/0!</v>
      </c>
      <c r="T62" s="62" t="e">
        <f t="shared" ca="1" si="44"/>
        <v>#DIV/0!</v>
      </c>
      <c r="U62" s="62" t="e">
        <f t="shared" ca="1" si="44"/>
        <v>#DIV/0!</v>
      </c>
      <c r="V62" s="62" t="e">
        <f t="shared" ca="1" si="44"/>
        <v>#DIV/0!</v>
      </c>
      <c r="W62" s="62" t="e">
        <f t="shared" ca="1" si="44"/>
        <v>#DIV/0!</v>
      </c>
      <c r="X62" s="62" t="e">
        <f t="shared" ca="1" si="44"/>
        <v>#DIV/0!</v>
      </c>
      <c r="Y62" s="62" t="e">
        <f t="shared" ca="1" si="44"/>
        <v>#DIV/0!</v>
      </c>
      <c r="Z62" s="62" t="e">
        <f t="shared" ca="1" si="44"/>
        <v>#DIV/0!</v>
      </c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9"/>
      <c r="Q63" s="34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">
      <c r="A64" s="1"/>
      <c r="B64" s="1" t="s">
        <v>48</v>
      </c>
      <c r="C64" s="1"/>
      <c r="D64" s="1"/>
      <c r="E64" s="1"/>
      <c r="F64" s="36">
        <f t="shared" ref="F64:P64" si="45">F32</f>
        <v>0</v>
      </c>
      <c r="G64" s="36">
        <f t="shared" si="45"/>
        <v>0</v>
      </c>
      <c r="H64" s="36">
        <f t="shared" si="45"/>
        <v>0</v>
      </c>
      <c r="I64" s="36">
        <f t="shared" si="45"/>
        <v>0</v>
      </c>
      <c r="J64" s="36">
        <f t="shared" si="45"/>
        <v>0</v>
      </c>
      <c r="K64" s="36">
        <f t="shared" si="45"/>
        <v>0</v>
      </c>
      <c r="L64" s="36">
        <f t="shared" si="45"/>
        <v>0</v>
      </c>
      <c r="M64" s="36">
        <f t="shared" si="45"/>
        <v>0</v>
      </c>
      <c r="N64" s="36">
        <f t="shared" si="45"/>
        <v>0</v>
      </c>
      <c r="O64" s="36">
        <f t="shared" si="45"/>
        <v>0</v>
      </c>
      <c r="P64" s="37">
        <f t="shared" si="45"/>
        <v>0</v>
      </c>
      <c r="Q64" s="63" t="e">
        <f t="shared" ref="Q64:Z64" ca="1" si="46">Q44*Q65</f>
        <v>#VALUE!</v>
      </c>
      <c r="R64" s="63" t="e">
        <f t="shared" ca="1" si="46"/>
        <v>#VALUE!</v>
      </c>
      <c r="S64" s="63" t="e">
        <f t="shared" ca="1" si="46"/>
        <v>#VALUE!</v>
      </c>
      <c r="T64" s="63" t="e">
        <f t="shared" ca="1" si="46"/>
        <v>#VALUE!</v>
      </c>
      <c r="U64" s="63" t="e">
        <f t="shared" ca="1" si="46"/>
        <v>#VALUE!</v>
      </c>
      <c r="V64" s="63" t="e">
        <f t="shared" ca="1" si="46"/>
        <v>#VALUE!</v>
      </c>
      <c r="W64" s="63" t="e">
        <f t="shared" ca="1" si="46"/>
        <v>#VALUE!</v>
      </c>
      <c r="X64" s="63" t="e">
        <f t="shared" ca="1" si="46"/>
        <v>#VALUE!</v>
      </c>
      <c r="Y64" s="63" t="e">
        <f t="shared" ca="1" si="46"/>
        <v>#VALUE!</v>
      </c>
      <c r="Z64" s="63" t="e">
        <f t="shared" ca="1" si="46"/>
        <v>#VALUE!</v>
      </c>
    </row>
    <row r="65" spans="1:28" ht="15">
      <c r="A65" s="1"/>
      <c r="B65" s="23" t="s">
        <v>68</v>
      </c>
      <c r="C65" s="1"/>
      <c r="D65" s="1"/>
      <c r="E65" s="1"/>
      <c r="F65" s="39" t="e">
        <f t="shared" ref="F65:P65" si="47">F64/F44</f>
        <v>#DIV/0!</v>
      </c>
      <c r="G65" s="39" t="e">
        <f t="shared" si="47"/>
        <v>#DIV/0!</v>
      </c>
      <c r="H65" s="39" t="e">
        <f t="shared" si="47"/>
        <v>#DIV/0!</v>
      </c>
      <c r="I65" s="39" t="e">
        <f t="shared" si="47"/>
        <v>#DIV/0!</v>
      </c>
      <c r="J65" s="39" t="e">
        <f t="shared" si="47"/>
        <v>#DIV/0!</v>
      </c>
      <c r="K65" s="39" t="e">
        <f t="shared" si="47"/>
        <v>#DIV/0!</v>
      </c>
      <c r="L65" s="39" t="e">
        <f t="shared" si="47"/>
        <v>#DIV/0!</v>
      </c>
      <c r="M65" s="39" t="e">
        <f t="shared" si="47"/>
        <v>#DIV/0!</v>
      </c>
      <c r="N65" s="39" t="e">
        <f t="shared" si="47"/>
        <v>#DIV/0!</v>
      </c>
      <c r="O65" s="39" t="e">
        <f t="shared" si="47"/>
        <v>#DIV/0!</v>
      </c>
      <c r="P65" s="40" t="e">
        <f t="shared" si="47"/>
        <v>#DIV/0!</v>
      </c>
      <c r="Q65" s="40" t="e">
        <f t="shared" ref="Q65:Z65" ca="1" si="48">OFFSET(Q65,$D$12,0)</f>
        <v>#DIV/0!</v>
      </c>
      <c r="R65" s="40" t="e">
        <f t="shared" ca="1" si="48"/>
        <v>#DIV/0!</v>
      </c>
      <c r="S65" s="40" t="e">
        <f t="shared" ca="1" si="48"/>
        <v>#DIV/0!</v>
      </c>
      <c r="T65" s="40" t="e">
        <f t="shared" ca="1" si="48"/>
        <v>#DIV/0!</v>
      </c>
      <c r="U65" s="40" t="e">
        <f t="shared" ca="1" si="48"/>
        <v>#DIV/0!</v>
      </c>
      <c r="V65" s="40" t="e">
        <f t="shared" ca="1" si="48"/>
        <v>#DIV/0!</v>
      </c>
      <c r="W65" s="40" t="e">
        <f t="shared" ca="1" si="48"/>
        <v>#DIV/0!</v>
      </c>
      <c r="X65" s="40" t="e">
        <f t="shared" ca="1" si="48"/>
        <v>#DIV/0!</v>
      </c>
      <c r="Y65" s="40" t="e">
        <f t="shared" ca="1" si="48"/>
        <v>#DIV/0!</v>
      </c>
      <c r="Z65" s="40" t="e">
        <f t="shared" ca="1" si="48"/>
        <v>#DIV/0!</v>
      </c>
    </row>
    <row r="66" spans="1:28" ht="15">
      <c r="A66" s="1"/>
      <c r="B66" s="205" t="s">
        <v>41</v>
      </c>
      <c r="C66" s="20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9"/>
      <c r="Q66" s="55">
        <f>H13</f>
        <v>5.0999999999999997E-2</v>
      </c>
      <c r="R66" s="56">
        <f t="shared" ref="R66:Z66" si="49">Q66</f>
        <v>5.0999999999999997E-2</v>
      </c>
      <c r="S66" s="56">
        <f t="shared" si="49"/>
        <v>5.0999999999999997E-2</v>
      </c>
      <c r="T66" s="56">
        <f t="shared" si="49"/>
        <v>5.0999999999999997E-2</v>
      </c>
      <c r="U66" s="56">
        <f t="shared" si="49"/>
        <v>5.0999999999999997E-2</v>
      </c>
      <c r="V66" s="56">
        <f t="shared" si="49"/>
        <v>5.0999999999999997E-2</v>
      </c>
      <c r="W66" s="56">
        <f t="shared" si="49"/>
        <v>5.0999999999999997E-2</v>
      </c>
      <c r="X66" s="56">
        <f t="shared" si="49"/>
        <v>5.0999999999999997E-2</v>
      </c>
      <c r="Y66" s="56">
        <f t="shared" si="49"/>
        <v>5.0999999999999997E-2</v>
      </c>
      <c r="Z66" s="56">
        <f t="shared" si="49"/>
        <v>5.0999999999999997E-2</v>
      </c>
    </row>
    <row r="67" spans="1:28" ht="15">
      <c r="A67" s="1"/>
      <c r="B67" s="205" t="s">
        <v>65</v>
      </c>
      <c r="C67" s="206"/>
      <c r="D67" s="20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9"/>
      <c r="Q67" s="57" t="e">
        <f>AVERAGE(K65:O65)</f>
        <v>#DIV/0!</v>
      </c>
      <c r="R67" s="58" t="e">
        <f t="shared" ref="R67:Z67" si="50">Q67</f>
        <v>#DIV/0!</v>
      </c>
      <c r="S67" s="58" t="e">
        <f t="shared" si="50"/>
        <v>#DIV/0!</v>
      </c>
      <c r="T67" s="58" t="e">
        <f t="shared" si="50"/>
        <v>#DIV/0!</v>
      </c>
      <c r="U67" s="58" t="e">
        <f t="shared" si="50"/>
        <v>#DIV/0!</v>
      </c>
      <c r="V67" s="58" t="e">
        <f t="shared" si="50"/>
        <v>#DIV/0!</v>
      </c>
      <c r="W67" s="58" t="e">
        <f t="shared" si="50"/>
        <v>#DIV/0!</v>
      </c>
      <c r="X67" s="58" t="e">
        <f t="shared" si="50"/>
        <v>#DIV/0!</v>
      </c>
      <c r="Y67" s="58" t="e">
        <f t="shared" si="50"/>
        <v>#DIV/0!</v>
      </c>
      <c r="Z67" s="58" t="e">
        <f t="shared" si="50"/>
        <v>#DIV/0!</v>
      </c>
    </row>
    <row r="68" spans="1:28" ht="15">
      <c r="A68" s="1"/>
      <c r="B68" s="205" t="s">
        <v>43</v>
      </c>
      <c r="C68" s="20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9"/>
      <c r="Q68" s="59">
        <f>P13</f>
        <v>6.0999999999999999E-2</v>
      </c>
      <c r="R68" s="58">
        <f t="shared" ref="R68:Z68" si="51">Q68</f>
        <v>6.0999999999999999E-2</v>
      </c>
      <c r="S68" s="58">
        <f t="shared" si="51"/>
        <v>6.0999999999999999E-2</v>
      </c>
      <c r="T68" s="58">
        <f t="shared" si="51"/>
        <v>6.0999999999999999E-2</v>
      </c>
      <c r="U68" s="58">
        <f t="shared" si="51"/>
        <v>6.0999999999999999E-2</v>
      </c>
      <c r="V68" s="58">
        <f t="shared" si="51"/>
        <v>6.0999999999999999E-2</v>
      </c>
      <c r="W68" s="58">
        <f t="shared" si="51"/>
        <v>6.0999999999999999E-2</v>
      </c>
      <c r="X68" s="58">
        <f t="shared" si="51"/>
        <v>6.0999999999999999E-2</v>
      </c>
      <c r="Y68" s="58">
        <f t="shared" si="51"/>
        <v>6.0999999999999999E-2</v>
      </c>
      <c r="Z68" s="58">
        <f t="shared" si="51"/>
        <v>6.0999999999999999E-2</v>
      </c>
    </row>
    <row r="69" spans="1:28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9"/>
      <c r="Q69" s="34"/>
      <c r="R69" s="35"/>
      <c r="S69" s="35"/>
      <c r="T69" s="35"/>
      <c r="U69" s="35"/>
      <c r="V69" s="35"/>
      <c r="W69" s="35"/>
      <c r="X69" s="35"/>
      <c r="Y69" s="35"/>
      <c r="Z69" s="35"/>
    </row>
    <row r="70" spans="1:28" ht="15">
      <c r="A70" s="1"/>
      <c r="B70" s="1" t="s">
        <v>49</v>
      </c>
      <c r="C70" s="1"/>
      <c r="D70" s="1"/>
      <c r="E70" s="1"/>
      <c r="F70" s="36">
        <f t="shared" ref="F70:P70" si="52">F36</f>
        <v>0</v>
      </c>
      <c r="G70" s="36">
        <f t="shared" si="52"/>
        <v>0</v>
      </c>
      <c r="H70" s="36">
        <f t="shared" si="52"/>
        <v>0</v>
      </c>
      <c r="I70" s="36">
        <f t="shared" si="52"/>
        <v>0</v>
      </c>
      <c r="J70" s="36">
        <f t="shared" si="52"/>
        <v>0</v>
      </c>
      <c r="K70" s="36">
        <f t="shared" si="52"/>
        <v>0</v>
      </c>
      <c r="L70" s="36">
        <f t="shared" si="52"/>
        <v>0</v>
      </c>
      <c r="M70" s="36">
        <f t="shared" si="52"/>
        <v>0</v>
      </c>
      <c r="N70" s="36">
        <f t="shared" si="52"/>
        <v>0</v>
      </c>
      <c r="O70" s="36">
        <f t="shared" si="52"/>
        <v>0</v>
      </c>
      <c r="P70" s="37">
        <f t="shared" si="52"/>
        <v>0</v>
      </c>
      <c r="Q70" s="63" t="e">
        <f t="shared" ref="Q70:Z70" ca="1" si="53">Q44*Q71</f>
        <v>#VALUE!</v>
      </c>
      <c r="R70" s="63" t="e">
        <f t="shared" ca="1" si="53"/>
        <v>#VALUE!</v>
      </c>
      <c r="S70" s="63" t="e">
        <f t="shared" ca="1" si="53"/>
        <v>#VALUE!</v>
      </c>
      <c r="T70" s="63" t="e">
        <f t="shared" ca="1" si="53"/>
        <v>#VALUE!</v>
      </c>
      <c r="U70" s="63" t="e">
        <f t="shared" ca="1" si="53"/>
        <v>#VALUE!</v>
      </c>
      <c r="V70" s="63" t="e">
        <f t="shared" ca="1" si="53"/>
        <v>#VALUE!</v>
      </c>
      <c r="W70" s="63" t="e">
        <f t="shared" ca="1" si="53"/>
        <v>#VALUE!</v>
      </c>
      <c r="X70" s="63" t="e">
        <f t="shared" ca="1" si="53"/>
        <v>#VALUE!</v>
      </c>
      <c r="Y70" s="63" t="e">
        <f t="shared" ca="1" si="53"/>
        <v>#VALUE!</v>
      </c>
      <c r="Z70" s="63" t="e">
        <f t="shared" ca="1" si="53"/>
        <v>#VALUE!</v>
      </c>
    </row>
    <row r="71" spans="1:28" ht="15">
      <c r="A71" s="1"/>
      <c r="B71" s="23" t="s">
        <v>68</v>
      </c>
      <c r="C71" s="1"/>
      <c r="D71" s="1"/>
      <c r="E71" s="1"/>
      <c r="F71" s="39" t="e">
        <f t="shared" ref="F71:P71" si="54">F70/F44</f>
        <v>#DIV/0!</v>
      </c>
      <c r="G71" s="39" t="e">
        <f t="shared" si="54"/>
        <v>#DIV/0!</v>
      </c>
      <c r="H71" s="39" t="e">
        <f t="shared" si="54"/>
        <v>#DIV/0!</v>
      </c>
      <c r="I71" s="39" t="e">
        <f t="shared" si="54"/>
        <v>#DIV/0!</v>
      </c>
      <c r="J71" s="39" t="e">
        <f t="shared" si="54"/>
        <v>#DIV/0!</v>
      </c>
      <c r="K71" s="39" t="e">
        <f t="shared" si="54"/>
        <v>#DIV/0!</v>
      </c>
      <c r="L71" s="39" t="e">
        <f t="shared" si="54"/>
        <v>#DIV/0!</v>
      </c>
      <c r="M71" s="39" t="e">
        <f t="shared" si="54"/>
        <v>#DIV/0!</v>
      </c>
      <c r="N71" s="39" t="e">
        <f t="shared" si="54"/>
        <v>#DIV/0!</v>
      </c>
      <c r="O71" s="39" t="e">
        <f t="shared" si="54"/>
        <v>#DIV/0!</v>
      </c>
      <c r="P71" s="40" t="e">
        <f t="shared" si="54"/>
        <v>#DIV/0!</v>
      </c>
      <c r="Q71" s="40" t="e">
        <f t="shared" ref="Q71:Z71" ca="1" si="55">OFFSET(Q71,$D$13,0)</f>
        <v>#VALUE!</v>
      </c>
      <c r="R71" s="40" t="e">
        <f t="shared" ca="1" si="55"/>
        <v>#VALUE!</v>
      </c>
      <c r="S71" s="40" t="e">
        <f t="shared" ca="1" si="55"/>
        <v>#VALUE!</v>
      </c>
      <c r="T71" s="41" t="e">
        <f t="shared" ca="1" si="55"/>
        <v>#VALUE!</v>
      </c>
      <c r="U71" s="41" t="e">
        <f t="shared" ca="1" si="55"/>
        <v>#VALUE!</v>
      </c>
      <c r="V71" s="41" t="e">
        <f t="shared" ca="1" si="55"/>
        <v>#VALUE!</v>
      </c>
      <c r="W71" s="41" t="e">
        <f t="shared" ca="1" si="55"/>
        <v>#VALUE!</v>
      </c>
      <c r="X71" s="41" t="e">
        <f t="shared" ca="1" si="55"/>
        <v>#VALUE!</v>
      </c>
      <c r="Y71" s="41" t="e">
        <f t="shared" ca="1" si="55"/>
        <v>#VALUE!</v>
      </c>
      <c r="Z71" s="40">
        <f t="shared" ca="1" si="55"/>
        <v>7.0000000000000007E-2</v>
      </c>
      <c r="AB71" s="3" t="s">
        <v>69</v>
      </c>
    </row>
    <row r="72" spans="1:28" ht="15">
      <c r="A72" s="1"/>
      <c r="B72" s="205" t="s">
        <v>41</v>
      </c>
      <c r="C72" s="206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9"/>
      <c r="Q72" s="55" t="e">
        <f>Q73</f>
        <v>#VALUE!</v>
      </c>
      <c r="R72" s="56" t="e">
        <f t="shared" ref="R72:S72" si="56">Q72+$AB$72</f>
        <v>#VALUE!</v>
      </c>
      <c r="S72" s="56" t="e">
        <f t="shared" si="56"/>
        <v>#VALUE!</v>
      </c>
      <c r="T72" s="49" t="e">
        <f t="shared" ref="T72:Y72" si="57">S72-(($S$72-$Z$72)/($Z$43-$S$43))</f>
        <v>#VALUE!</v>
      </c>
      <c r="U72" s="49" t="e">
        <f t="shared" si="57"/>
        <v>#VALUE!</v>
      </c>
      <c r="V72" s="49" t="e">
        <f t="shared" si="57"/>
        <v>#VALUE!</v>
      </c>
      <c r="W72" s="49" t="e">
        <f t="shared" si="57"/>
        <v>#VALUE!</v>
      </c>
      <c r="X72" s="49" t="e">
        <f t="shared" si="57"/>
        <v>#VALUE!</v>
      </c>
      <c r="Y72" s="49" t="e">
        <f t="shared" si="57"/>
        <v>#VALUE!</v>
      </c>
      <c r="Z72" s="44">
        <f>H14</f>
        <v>0.09</v>
      </c>
      <c r="AB72" s="64">
        <f>0.5%</f>
        <v>5.0000000000000001E-3</v>
      </c>
    </row>
    <row r="73" spans="1:28" ht="15">
      <c r="A73" s="1"/>
      <c r="B73" s="205" t="s">
        <v>65</v>
      </c>
      <c r="C73" s="206"/>
      <c r="D73" s="20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9"/>
      <c r="Q73" s="59" t="e">
        <f>Q37</f>
        <v>#VALUE!</v>
      </c>
      <c r="R73" s="47" t="e">
        <f t="shared" ref="R73:S73" si="58">Q73</f>
        <v>#VALUE!</v>
      </c>
      <c r="S73" s="47" t="e">
        <f t="shared" si="58"/>
        <v>#VALUE!</v>
      </c>
      <c r="T73" s="46" t="e">
        <f t="shared" ref="T73:Y73" si="59">S73-(($S$73-$Z$73)/($Z$43-$S$43))</f>
        <v>#VALUE!</v>
      </c>
      <c r="U73" s="46" t="e">
        <f t="shared" si="59"/>
        <v>#VALUE!</v>
      </c>
      <c r="V73" s="46" t="e">
        <f t="shared" si="59"/>
        <v>#VALUE!</v>
      </c>
      <c r="W73" s="46" t="e">
        <f t="shared" si="59"/>
        <v>#VALUE!</v>
      </c>
      <c r="X73" s="46" t="e">
        <f t="shared" si="59"/>
        <v>#VALUE!</v>
      </c>
      <c r="Y73" s="46" t="e">
        <f t="shared" si="59"/>
        <v>#VALUE!</v>
      </c>
      <c r="Z73" s="47">
        <f>L14</f>
        <v>7.0000000000000007E-2</v>
      </c>
    </row>
    <row r="74" spans="1:28" ht="15">
      <c r="A74" s="1"/>
      <c r="B74" s="205" t="s">
        <v>43</v>
      </c>
      <c r="C74" s="206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9"/>
      <c r="Q74" s="59" t="e">
        <f>Q73</f>
        <v>#VALUE!</v>
      </c>
      <c r="R74" s="58" t="e">
        <f t="shared" ref="R74:S74" si="60">Q74+$AB$74</f>
        <v>#VALUE!</v>
      </c>
      <c r="S74" s="58" t="e">
        <f t="shared" si="60"/>
        <v>#VALUE!</v>
      </c>
      <c r="T74" s="46" t="e">
        <f t="shared" ref="T74:Y74" si="61">S74-(($S$74-$Z$74)/($Z$43-$S$43))</f>
        <v>#VALUE!</v>
      </c>
      <c r="U74" s="46" t="e">
        <f t="shared" si="61"/>
        <v>#VALUE!</v>
      </c>
      <c r="V74" s="46" t="e">
        <f t="shared" si="61"/>
        <v>#VALUE!</v>
      </c>
      <c r="W74" s="46" t="e">
        <f t="shared" si="61"/>
        <v>#VALUE!</v>
      </c>
      <c r="X74" s="46" t="e">
        <f t="shared" si="61"/>
        <v>#VALUE!</v>
      </c>
      <c r="Y74" s="46" t="e">
        <f t="shared" si="61"/>
        <v>#VALUE!</v>
      </c>
      <c r="Z74" s="58">
        <f>P14</f>
        <v>0.05</v>
      </c>
      <c r="AB74" s="64">
        <v>-5.0000000000000001E-3</v>
      </c>
    </row>
    <row r="75" spans="1:28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9"/>
      <c r="Q75" s="34"/>
      <c r="R75" s="35"/>
      <c r="S75" s="35"/>
      <c r="T75" s="35"/>
      <c r="U75" s="35"/>
      <c r="V75" s="35"/>
      <c r="W75" s="35"/>
      <c r="X75" s="35"/>
      <c r="Y75" s="35"/>
      <c r="Z75" s="35"/>
    </row>
    <row r="76" spans="1:28" ht="15">
      <c r="A76" s="1"/>
      <c r="B76" s="205" t="s">
        <v>63</v>
      </c>
      <c r="C76" s="206"/>
      <c r="D76" s="1"/>
      <c r="E76" s="1"/>
      <c r="F76" s="32">
        <f t="shared" ref="F76:P76" si="62">F39</f>
        <v>0</v>
      </c>
      <c r="G76" s="32">
        <f t="shared" si="62"/>
        <v>0</v>
      </c>
      <c r="H76" s="32">
        <f t="shared" si="62"/>
        <v>0</v>
      </c>
      <c r="I76" s="32">
        <f t="shared" si="62"/>
        <v>0</v>
      </c>
      <c r="J76" s="32">
        <f t="shared" si="62"/>
        <v>0</v>
      </c>
      <c r="K76" s="32">
        <f t="shared" si="62"/>
        <v>0</v>
      </c>
      <c r="L76" s="32">
        <f t="shared" si="62"/>
        <v>0</v>
      </c>
      <c r="M76" s="32">
        <f t="shared" si="62"/>
        <v>0</v>
      </c>
      <c r="N76" s="32">
        <f t="shared" si="62"/>
        <v>0</v>
      </c>
      <c r="O76" s="32">
        <f t="shared" si="62"/>
        <v>0</v>
      </c>
      <c r="P76" s="33">
        <f t="shared" si="62"/>
        <v>0</v>
      </c>
      <c r="Q76" s="63" t="e">
        <f t="shared" ref="Q76:Z76" ca="1" si="63">Q77*Q44</f>
        <v>#DIV/0!</v>
      </c>
      <c r="R76" s="65" t="e">
        <f t="shared" ca="1" si="63"/>
        <v>#DIV/0!</v>
      </c>
      <c r="S76" s="65" t="e">
        <f t="shared" ca="1" si="63"/>
        <v>#DIV/0!</v>
      </c>
      <c r="T76" s="65" t="e">
        <f t="shared" ca="1" si="63"/>
        <v>#DIV/0!</v>
      </c>
      <c r="U76" s="65" t="e">
        <f t="shared" ca="1" si="63"/>
        <v>#DIV/0!</v>
      </c>
      <c r="V76" s="65" t="e">
        <f t="shared" ca="1" si="63"/>
        <v>#DIV/0!</v>
      </c>
      <c r="W76" s="65" t="e">
        <f t="shared" ca="1" si="63"/>
        <v>#DIV/0!</v>
      </c>
      <c r="X76" s="65" t="e">
        <f t="shared" ca="1" si="63"/>
        <v>#DIV/0!</v>
      </c>
      <c r="Y76" s="65" t="e">
        <f t="shared" ca="1" si="63"/>
        <v>#DIV/0!</v>
      </c>
      <c r="Z76" s="65" t="e">
        <f t="shared" ca="1" si="63"/>
        <v>#DIV/0!</v>
      </c>
    </row>
    <row r="77" spans="1:28" ht="15">
      <c r="A77" s="1"/>
      <c r="B77" s="23" t="s">
        <v>68</v>
      </c>
      <c r="C77" s="1"/>
      <c r="D77" s="1"/>
      <c r="E77" s="1"/>
      <c r="F77" s="39" t="e">
        <f t="shared" ref="F77:P77" si="64">F76/F44</f>
        <v>#DIV/0!</v>
      </c>
      <c r="G77" s="39" t="e">
        <f t="shared" si="64"/>
        <v>#DIV/0!</v>
      </c>
      <c r="H77" s="39" t="e">
        <f t="shared" si="64"/>
        <v>#DIV/0!</v>
      </c>
      <c r="I77" s="39" t="e">
        <f t="shared" si="64"/>
        <v>#DIV/0!</v>
      </c>
      <c r="J77" s="39" t="e">
        <f t="shared" si="64"/>
        <v>#DIV/0!</v>
      </c>
      <c r="K77" s="39" t="e">
        <f t="shared" si="64"/>
        <v>#DIV/0!</v>
      </c>
      <c r="L77" s="39" t="e">
        <f t="shared" si="64"/>
        <v>#DIV/0!</v>
      </c>
      <c r="M77" s="39" t="e">
        <f t="shared" si="64"/>
        <v>#DIV/0!</v>
      </c>
      <c r="N77" s="39" t="e">
        <f t="shared" si="64"/>
        <v>#DIV/0!</v>
      </c>
      <c r="O77" s="39" t="e">
        <f t="shared" si="64"/>
        <v>#DIV/0!</v>
      </c>
      <c r="P77" s="40" t="e">
        <f t="shared" si="64"/>
        <v>#DIV/0!</v>
      </c>
      <c r="Q77" s="41" t="e">
        <f>AVERAGE(J77:O77)</f>
        <v>#DIV/0!</v>
      </c>
      <c r="R77" s="66" t="e">
        <f>AVERAGE(L77:O77,Q77)</f>
        <v>#DIV/0!</v>
      </c>
      <c r="S77" s="66" t="e">
        <f>AVERAGE(M77:O77,Q77:R77)</f>
        <v>#DIV/0!</v>
      </c>
      <c r="T77" s="66" t="e">
        <f>AVERAGE(N77:O77,Q77:S77)</f>
        <v>#DIV/0!</v>
      </c>
      <c r="U77" s="66" t="e">
        <f>AVERAGE(N77,Q77:T77)</f>
        <v>#DIV/0!</v>
      </c>
      <c r="V77" s="66" t="e">
        <f t="shared" ref="V77:Z77" si="65">AVERAGE(Q77:U77)</f>
        <v>#DIV/0!</v>
      </c>
      <c r="W77" s="66" t="e">
        <f t="shared" si="65"/>
        <v>#DIV/0!</v>
      </c>
      <c r="X77" s="66" t="e">
        <f t="shared" si="65"/>
        <v>#DIV/0!</v>
      </c>
      <c r="Y77" s="66" t="e">
        <f t="shared" si="65"/>
        <v>#DIV/0!</v>
      </c>
      <c r="Z77" s="66" t="e">
        <f t="shared" si="65"/>
        <v>#DIV/0!</v>
      </c>
    </row>
    <row r="78" spans="1:28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9"/>
      <c r="Q78" s="34"/>
      <c r="R78" s="35"/>
      <c r="S78" s="35"/>
      <c r="T78" s="35"/>
      <c r="U78" s="35"/>
      <c r="V78" s="35"/>
      <c r="W78" s="35"/>
      <c r="X78" s="35"/>
      <c r="Y78" s="35"/>
      <c r="Z78" s="35"/>
    </row>
    <row r="79" spans="1:28" ht="15">
      <c r="A79" s="1"/>
      <c r="B79" s="207" t="s">
        <v>70</v>
      </c>
      <c r="C79" s="206"/>
      <c r="D79" s="206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2" t="e">
        <f t="shared" ref="Q79:Z79" ca="1" si="66">Q62+Q64-Q70-Q76</f>
        <v>#DIV/0!</v>
      </c>
      <c r="R79" s="62" t="e">
        <f t="shared" ca="1" si="66"/>
        <v>#DIV/0!</v>
      </c>
      <c r="S79" s="62" t="e">
        <f t="shared" ca="1" si="66"/>
        <v>#DIV/0!</v>
      </c>
      <c r="T79" s="62" t="e">
        <f t="shared" ca="1" si="66"/>
        <v>#DIV/0!</v>
      </c>
      <c r="U79" s="62" t="e">
        <f t="shared" ca="1" si="66"/>
        <v>#DIV/0!</v>
      </c>
      <c r="V79" s="62" t="e">
        <f t="shared" ca="1" si="66"/>
        <v>#DIV/0!</v>
      </c>
      <c r="W79" s="62" t="e">
        <f t="shared" ca="1" si="66"/>
        <v>#DIV/0!</v>
      </c>
      <c r="X79" s="62" t="e">
        <f t="shared" ca="1" si="66"/>
        <v>#DIV/0!</v>
      </c>
      <c r="Y79" s="62" t="e">
        <f t="shared" ca="1" si="66"/>
        <v>#DIV/0!</v>
      </c>
      <c r="Z79" s="62" t="e">
        <f t="shared" ca="1" si="66"/>
        <v>#DIV/0!</v>
      </c>
    </row>
    <row r="80" spans="1:28" ht="15">
      <c r="A80" s="1"/>
      <c r="B80" s="205" t="s">
        <v>71</v>
      </c>
      <c r="C80" s="206"/>
      <c r="D80" s="206"/>
      <c r="E80" s="1"/>
      <c r="F80" s="1"/>
      <c r="G80" s="1"/>
      <c r="H80" s="1"/>
      <c r="I80" s="1"/>
      <c r="J80" s="1"/>
      <c r="K80" s="1"/>
      <c r="L80" s="1"/>
      <c r="Q80" s="67" t="e">
        <f t="shared" ref="Q80:Z80" ca="1" si="67">Q79/(1+$D$18)^Q42</f>
        <v>#DIV/0!</v>
      </c>
      <c r="R80" s="67" t="e">
        <f t="shared" ca="1" si="67"/>
        <v>#DIV/0!</v>
      </c>
      <c r="S80" s="67" t="e">
        <f t="shared" ca="1" si="67"/>
        <v>#DIV/0!</v>
      </c>
      <c r="T80" s="67" t="e">
        <f t="shared" ca="1" si="67"/>
        <v>#DIV/0!</v>
      </c>
      <c r="U80" s="67" t="e">
        <f t="shared" ca="1" si="67"/>
        <v>#DIV/0!</v>
      </c>
      <c r="V80" s="67" t="e">
        <f t="shared" ca="1" si="67"/>
        <v>#DIV/0!</v>
      </c>
      <c r="W80" s="67" t="e">
        <f t="shared" ca="1" si="67"/>
        <v>#DIV/0!</v>
      </c>
      <c r="X80" s="67" t="e">
        <f t="shared" ca="1" si="67"/>
        <v>#DIV/0!</v>
      </c>
      <c r="Y80" s="67" t="e">
        <f t="shared" ca="1" si="67"/>
        <v>#DIV/0!</v>
      </c>
      <c r="Z80" s="67" t="e">
        <f t="shared" ca="1" si="67"/>
        <v>#DIV/0!</v>
      </c>
    </row>
    <row r="81" spans="1:26" ht="15">
      <c r="A81" s="1"/>
      <c r="B81" s="205" t="s">
        <v>72</v>
      </c>
      <c r="C81" s="206"/>
      <c r="D81" s="1"/>
      <c r="E81" s="1"/>
      <c r="F81" s="1"/>
      <c r="G81" s="1"/>
      <c r="H81" s="1"/>
      <c r="I81" s="1"/>
      <c r="J81" s="1"/>
      <c r="K81" s="1"/>
      <c r="L81" s="1"/>
      <c r="Q81" s="35"/>
      <c r="R81" s="35"/>
      <c r="S81" s="35"/>
      <c r="T81" s="35"/>
      <c r="U81" s="67" t="e">
        <f ca="1">(U79*(1+$D$19))/($D$18-$D$19)</f>
        <v>#DIV/0!</v>
      </c>
      <c r="V81" s="67"/>
      <c r="W81" s="67"/>
      <c r="X81" s="67"/>
      <c r="Y81" s="67"/>
      <c r="Z81" s="67" t="e">
        <f ca="1">(Z79*(1+$D$19))/($D$18-$D$19)</f>
        <v>#DIV/0!</v>
      </c>
    </row>
    <row r="82" spans="1:26" ht="15">
      <c r="A82" s="1"/>
      <c r="B82" s="205" t="s">
        <v>73</v>
      </c>
      <c r="C82" s="206"/>
      <c r="D82" s="206"/>
      <c r="E82" s="1"/>
      <c r="F82" s="1"/>
      <c r="G82" s="1"/>
      <c r="H82" s="1"/>
      <c r="I82" s="1"/>
      <c r="J82" s="1"/>
      <c r="K82" s="1"/>
      <c r="L82" s="1"/>
      <c r="Q82" s="35"/>
      <c r="R82" s="35"/>
      <c r="S82" s="35"/>
      <c r="T82" s="35"/>
      <c r="U82" s="67" t="e">
        <f ca="1">U81/(1+$D$18)^U42</f>
        <v>#DIV/0!</v>
      </c>
      <c r="V82" s="67"/>
      <c r="W82" s="67"/>
      <c r="X82" s="67"/>
      <c r="Y82" s="67"/>
      <c r="Z82" s="67" t="e">
        <f ca="1">Z81/(1+$D$18)^Z42</f>
        <v>#DIV/0!</v>
      </c>
    </row>
    <row r="83" spans="1:26" ht="15">
      <c r="A83" s="1"/>
      <c r="B83" s="205" t="s">
        <v>74</v>
      </c>
      <c r="C83" s="206"/>
      <c r="D83" s="1"/>
      <c r="E83" s="1"/>
      <c r="F83" s="1"/>
      <c r="G83" s="1"/>
      <c r="H83" s="1"/>
      <c r="I83" s="1"/>
      <c r="J83" s="1"/>
      <c r="K83" s="1"/>
      <c r="L83" s="1"/>
      <c r="Q83" s="35"/>
      <c r="R83" s="35"/>
      <c r="S83" s="35"/>
      <c r="T83" s="35"/>
      <c r="U83" s="67" t="e">
        <f ca="1">SUM(L80:U80,U82)</f>
        <v>#DIV/0!</v>
      </c>
      <c r="V83" s="67"/>
      <c r="W83" s="67"/>
      <c r="X83" s="67"/>
      <c r="Y83" s="67"/>
      <c r="Z83" s="67" t="e">
        <f ca="1">SUM(Q80:Z80,Z82)</f>
        <v>#DIV/0!</v>
      </c>
    </row>
    <row r="84" spans="1:26" ht="15">
      <c r="A84" s="1"/>
      <c r="B84" s="1" t="s">
        <v>75</v>
      </c>
      <c r="C84" s="1"/>
      <c r="D84" s="1"/>
      <c r="E84" s="1"/>
      <c r="F84" s="1"/>
      <c r="G84" s="1"/>
      <c r="H84" s="1"/>
      <c r="I84" s="1"/>
      <c r="J84" s="1"/>
      <c r="K84" s="1"/>
      <c r="L84" s="1"/>
      <c r="Q84" s="35"/>
      <c r="R84" s="35"/>
      <c r="S84" s="35"/>
      <c r="T84" s="35"/>
      <c r="U84" s="67">
        <f>BS!M7/1000000</f>
        <v>0</v>
      </c>
      <c r="V84" s="67"/>
      <c r="W84" s="67"/>
      <c r="X84" s="67"/>
      <c r="Y84" s="67"/>
      <c r="Z84" s="67">
        <f>BS!M7/1000000</f>
        <v>0</v>
      </c>
    </row>
    <row r="85" spans="1:26" ht="15">
      <c r="A85" s="1"/>
      <c r="B85" s="1" t="s">
        <v>76</v>
      </c>
      <c r="C85" s="1"/>
      <c r="D85" s="1"/>
      <c r="E85" s="1"/>
      <c r="F85" s="1"/>
      <c r="G85" s="1"/>
      <c r="H85" s="1"/>
      <c r="I85" s="1"/>
      <c r="J85" s="1"/>
      <c r="K85" s="1"/>
      <c r="L85" s="1"/>
      <c r="Q85" s="35"/>
      <c r="R85" s="35"/>
      <c r="S85" s="35"/>
      <c r="T85" s="35"/>
      <c r="U85" s="67">
        <f>BS!M35/1000000</f>
        <v>0</v>
      </c>
      <c r="V85" s="67"/>
      <c r="W85" s="67"/>
      <c r="X85" s="67"/>
      <c r="Y85" s="67"/>
      <c r="Z85" s="67">
        <f>BS!M35/1000000</f>
        <v>0</v>
      </c>
    </row>
    <row r="86" spans="1:26" ht="15">
      <c r="A86" s="1"/>
      <c r="B86" s="205" t="s">
        <v>77</v>
      </c>
      <c r="C86" s="206"/>
      <c r="D86" s="1"/>
      <c r="E86" s="1"/>
      <c r="F86" s="1"/>
      <c r="G86" s="1"/>
      <c r="H86" s="1"/>
      <c r="I86" s="1"/>
      <c r="J86" s="1"/>
      <c r="K86" s="1"/>
      <c r="L86" s="1"/>
      <c r="Q86" s="35"/>
      <c r="R86" s="35"/>
      <c r="S86" s="35"/>
      <c r="T86" s="35"/>
      <c r="U86" s="67" t="e">
        <f ca="1">U83+U84-U85</f>
        <v>#DIV/0!</v>
      </c>
      <c r="V86" s="67"/>
      <c r="W86" s="67"/>
      <c r="X86" s="67"/>
      <c r="Y86" s="67"/>
      <c r="Z86" s="67" t="e">
        <f ca="1">Z83+Z84-Z85</f>
        <v>#DIV/0!</v>
      </c>
    </row>
    <row r="87" spans="1:26" ht="15">
      <c r="A87" s="1"/>
      <c r="B87" s="205" t="s">
        <v>78</v>
      </c>
      <c r="C87" s="206"/>
      <c r="D87" s="1"/>
      <c r="E87" s="1"/>
      <c r="F87" s="1"/>
      <c r="G87" s="1"/>
      <c r="H87" s="1"/>
      <c r="I87" s="1"/>
      <c r="J87" s="1"/>
      <c r="K87" s="1"/>
      <c r="L87" s="1"/>
      <c r="Q87" s="35"/>
      <c r="R87" s="35"/>
      <c r="S87" s="35"/>
      <c r="T87" s="35"/>
      <c r="U87" s="67">
        <f>INFO!C18/1000000</f>
        <v>3184.79</v>
      </c>
      <c r="V87" s="67"/>
      <c r="W87" s="67"/>
      <c r="X87" s="67"/>
      <c r="Y87" s="67"/>
      <c r="Z87" s="67">
        <f>INFO!C18/1000000</f>
        <v>3184.79</v>
      </c>
    </row>
    <row r="88" spans="1:26" ht="15">
      <c r="A88" s="1"/>
      <c r="B88" s="205" t="s">
        <v>79</v>
      </c>
      <c r="C88" s="206"/>
      <c r="D88" s="1"/>
      <c r="E88" s="1"/>
      <c r="F88" s="1"/>
      <c r="G88" s="1"/>
      <c r="H88" s="1"/>
      <c r="I88" s="1"/>
      <c r="J88" s="1"/>
      <c r="K88" s="1"/>
      <c r="L88" s="1"/>
      <c r="Q88" s="35"/>
      <c r="R88" s="35"/>
      <c r="S88" s="35"/>
      <c r="T88" s="35"/>
      <c r="U88" s="68" t="e">
        <f ca="1">U86/U87</f>
        <v>#DIV/0!</v>
      </c>
      <c r="V88" s="68"/>
      <c r="W88" s="68"/>
      <c r="X88" s="68"/>
      <c r="Y88" s="68"/>
      <c r="Z88" s="68" t="e">
        <f ca="1">Z86/Z87</f>
        <v>#DIV/0!</v>
      </c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</sheetData>
  <mergeCells count="50">
    <mergeCell ref="N8:O8"/>
    <mergeCell ref="N9:O9"/>
    <mergeCell ref="N10:O10"/>
    <mergeCell ref="N14:O14"/>
    <mergeCell ref="F9:G9"/>
    <mergeCell ref="F10:G10"/>
    <mergeCell ref="J10:K10"/>
    <mergeCell ref="J14:K14"/>
    <mergeCell ref="B2:C2"/>
    <mergeCell ref="E4:F4"/>
    <mergeCell ref="E5:F5"/>
    <mergeCell ref="B7:C7"/>
    <mergeCell ref="F8:G8"/>
    <mergeCell ref="B9:C9"/>
    <mergeCell ref="B10:C10"/>
    <mergeCell ref="B17:C17"/>
    <mergeCell ref="B21:C21"/>
    <mergeCell ref="B26:C26"/>
    <mergeCell ref="B31:C31"/>
    <mergeCell ref="B33:C33"/>
    <mergeCell ref="B34:C34"/>
    <mergeCell ref="B36:C36"/>
    <mergeCell ref="B37:C37"/>
    <mergeCell ref="B39:C39"/>
    <mergeCell ref="B40:C40"/>
    <mergeCell ref="B41:C41"/>
    <mergeCell ref="B46:C46"/>
    <mergeCell ref="B47:D47"/>
    <mergeCell ref="B48:C48"/>
    <mergeCell ref="B52:C52"/>
    <mergeCell ref="B53:D53"/>
    <mergeCell ref="B54:C54"/>
    <mergeCell ref="B58:C58"/>
    <mergeCell ref="B59:D59"/>
    <mergeCell ref="B60:C60"/>
    <mergeCell ref="B66:C66"/>
    <mergeCell ref="B80:D80"/>
    <mergeCell ref="B81:C81"/>
    <mergeCell ref="B67:D67"/>
    <mergeCell ref="B68:C68"/>
    <mergeCell ref="B72:C72"/>
    <mergeCell ref="B73:D73"/>
    <mergeCell ref="B74:C74"/>
    <mergeCell ref="B76:C76"/>
    <mergeCell ref="B79:D79"/>
    <mergeCell ref="B82:D82"/>
    <mergeCell ref="B83:C83"/>
    <mergeCell ref="B86:C86"/>
    <mergeCell ref="B87:C87"/>
    <mergeCell ref="B88:C88"/>
  </mergeCells>
  <conditionalFormatting sqref="F76:P76">
    <cfRule type="cellIs" dxfId="13" priority="4" operator="greaterThanOrEqual">
      <formula>0</formula>
    </cfRule>
    <cfRule type="cellIs" dxfId="12" priority="3" operator="lessThan">
      <formula>0</formula>
    </cfRule>
  </conditionalFormatting>
  <conditionalFormatting sqref="K5:L5">
    <cfRule type="cellIs" dxfId="11" priority="7" operator="greaterThan">
      <formula>"0%"</formula>
    </cfRule>
    <cfRule type="cellIs" dxfId="10" priority="5" operator="greaterThan">
      <formula>"10%"</formula>
    </cfRule>
    <cfRule type="cellIs" dxfId="9" priority="6" operator="lessThanOrEqual">
      <formula>"0%"</formula>
    </cfRule>
  </conditionalFormatting>
  <conditionalFormatting sqref="T21:T22 F22:S22 F25:T25 F28:P28 T31 F32:P32 F36:P36 F39:P39">
    <cfRule type="cellIs" dxfId="8" priority="2" operator="lessThan">
      <formula>0</formula>
    </cfRule>
    <cfRule type="cellIs" dxfId="7" priority="1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Z27"/>
  <sheetViews>
    <sheetView showGridLines="0" workbookViewId="0">
      <selection activeCell="B3" sqref="B3"/>
    </sheetView>
  </sheetViews>
  <sheetFormatPr baseColWidth="10" defaultColWidth="12.6640625" defaultRowHeight="15.75" customHeight="1"/>
  <cols>
    <col min="1" max="1" width="1.6640625" customWidth="1"/>
    <col min="12" max="12" width="17.33203125" customWidth="1"/>
  </cols>
  <sheetData>
    <row r="1" spans="1:26" ht="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26" ht="21">
      <c r="A2" s="8"/>
      <c r="B2" s="9" t="str">
        <f>CONCATENATE("WACC of ", INFO!C4)</f>
        <v xml:space="preserve">WACC of </v>
      </c>
      <c r="C2" s="8"/>
      <c r="D2" s="8"/>
      <c r="E2" s="8"/>
      <c r="F2" s="8"/>
      <c r="G2" s="8"/>
      <c r="H2" s="8"/>
      <c r="I2" s="8"/>
      <c r="J2" s="8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 ht="15">
      <c r="A3" s="1"/>
      <c r="B3" s="1"/>
      <c r="C3" s="1"/>
      <c r="D3" s="1"/>
      <c r="E3" s="1"/>
      <c r="F3" s="1"/>
      <c r="G3" s="1"/>
      <c r="H3" s="1"/>
      <c r="I3" s="1"/>
      <c r="J3" s="1"/>
    </row>
    <row r="4" spans="1:26" ht="15">
      <c r="A4" s="1" t="s">
        <v>32</v>
      </c>
      <c r="B4" s="12" t="s">
        <v>50</v>
      </c>
      <c r="C4" s="70"/>
      <c r="D4" s="70"/>
      <c r="E4" s="70"/>
      <c r="F4" s="70"/>
      <c r="G4" s="70"/>
      <c r="H4" s="70"/>
      <c r="I4" s="70"/>
      <c r="J4" s="1"/>
    </row>
    <row r="5" spans="1:26" ht="15">
      <c r="A5" s="1"/>
      <c r="B5" s="210" t="s">
        <v>80</v>
      </c>
      <c r="C5" s="206"/>
      <c r="D5" s="206"/>
      <c r="E5" s="206"/>
      <c r="F5" s="206"/>
      <c r="G5" s="206"/>
      <c r="H5" s="1"/>
      <c r="I5" s="1"/>
      <c r="J5" s="1"/>
    </row>
    <row r="6" spans="1:26" ht="15">
      <c r="A6" s="1"/>
      <c r="B6" s="210" t="s">
        <v>81</v>
      </c>
      <c r="C6" s="206"/>
      <c r="D6" s="206"/>
      <c r="E6" s="206"/>
      <c r="F6" s="206"/>
      <c r="G6" s="206"/>
      <c r="H6" s="206"/>
      <c r="I6" s="1"/>
      <c r="J6" s="1"/>
      <c r="L6" s="3" t="s">
        <v>39</v>
      </c>
    </row>
    <row r="7" spans="1:26" ht="15">
      <c r="A7" s="1"/>
      <c r="B7" s="1"/>
      <c r="C7" s="1"/>
      <c r="D7" s="1"/>
      <c r="E7" s="1"/>
      <c r="F7" s="1"/>
      <c r="G7" s="1"/>
      <c r="H7" s="1"/>
      <c r="I7" s="1"/>
      <c r="J7" s="1"/>
    </row>
    <row r="8" spans="1:26" ht="15">
      <c r="A8" s="1"/>
      <c r="B8" s="1" t="s">
        <v>82</v>
      </c>
      <c r="C8" s="1"/>
      <c r="D8" s="67">
        <f>BS!$M$35/1000000</f>
        <v>0</v>
      </c>
      <c r="E8" s="1"/>
      <c r="F8" s="1"/>
      <c r="G8" s="1"/>
      <c r="H8" s="1"/>
      <c r="I8" s="1"/>
      <c r="J8" s="1"/>
      <c r="L8" s="10" t="s">
        <v>83</v>
      </c>
      <c r="M8" s="1"/>
      <c r="N8" s="1"/>
      <c r="O8" s="1"/>
    </row>
    <row r="9" spans="1:26" ht="15">
      <c r="A9" s="1"/>
      <c r="B9" s="1" t="s">
        <v>84</v>
      </c>
      <c r="C9" s="1"/>
      <c r="D9" s="71" t="e">
        <f>D8/D20</f>
        <v>#DIV/0!</v>
      </c>
      <c r="E9" s="1"/>
      <c r="F9" s="1"/>
      <c r="G9" s="1"/>
      <c r="H9" s="1"/>
      <c r="I9" s="1"/>
      <c r="J9" s="1"/>
      <c r="L9" s="1" t="s">
        <v>85</v>
      </c>
      <c r="M9" s="1"/>
      <c r="N9" s="72">
        <f>D16*D17</f>
        <v>0</v>
      </c>
      <c r="O9" s="1"/>
      <c r="P9" s="3" t="s">
        <v>86</v>
      </c>
      <c r="Q9" s="73">
        <v>0.05</v>
      </c>
    </row>
    <row r="10" spans="1:26" ht="15">
      <c r="A10" s="1"/>
      <c r="B10" s="205" t="s">
        <v>87</v>
      </c>
      <c r="C10" s="206"/>
      <c r="D10" s="74" t="e">
        <f>(IS!M19/BS!M50)*(1-D11)</f>
        <v>#DIV/0!</v>
      </c>
      <c r="E10" s="1"/>
      <c r="I10" s="1"/>
      <c r="J10" s="1"/>
    </row>
    <row r="11" spans="1:26" ht="15">
      <c r="A11" s="1"/>
      <c r="B11" s="1" t="s">
        <v>88</v>
      </c>
      <c r="C11" s="1"/>
      <c r="D11" s="75" t="e">
        <f>L17</f>
        <v>#DIV/0!</v>
      </c>
      <c r="E11" s="1"/>
      <c r="I11" s="1"/>
      <c r="J11" s="1"/>
    </row>
    <row r="12" spans="1:26" ht="1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26" ht="15">
      <c r="A13" s="1"/>
      <c r="B13" s="205" t="s">
        <v>77</v>
      </c>
      <c r="C13" s="206"/>
      <c r="D13" s="67">
        <f>INFO!C16/1000000</f>
        <v>0</v>
      </c>
      <c r="E13" s="1"/>
      <c r="F13" s="1"/>
      <c r="G13" s="1"/>
      <c r="H13" s="1"/>
      <c r="I13" s="1"/>
      <c r="J13" s="1"/>
    </row>
    <row r="14" spans="1:26" ht="15">
      <c r="A14" s="1"/>
      <c r="B14" s="1" t="s">
        <v>89</v>
      </c>
      <c r="C14" s="1"/>
      <c r="D14" s="76" t="e">
        <f>D13/D20</f>
        <v>#DIV/0!</v>
      </c>
      <c r="E14" s="1"/>
      <c r="F14" s="1"/>
      <c r="G14" s="1"/>
      <c r="H14" s="1"/>
      <c r="I14" s="1"/>
      <c r="J14" s="1"/>
    </row>
    <row r="15" spans="1:26" ht="15">
      <c r="A15" s="1"/>
      <c r="B15" s="205" t="s">
        <v>90</v>
      </c>
      <c r="C15" s="206"/>
      <c r="D15" s="71">
        <f>D16+(D17*D18)</f>
        <v>0</v>
      </c>
      <c r="E15" s="1"/>
      <c r="F15" s="1"/>
      <c r="G15" s="1"/>
      <c r="H15" s="1"/>
      <c r="I15" s="1"/>
      <c r="J15" s="1"/>
      <c r="L15" s="77" t="s">
        <v>91</v>
      </c>
    </row>
    <row r="16" spans="1:26" ht="15">
      <c r="A16" s="1"/>
      <c r="B16" s="205" t="s">
        <v>92</v>
      </c>
      <c r="C16" s="206"/>
      <c r="D16" s="74">
        <f>INFO!C20 / 100</f>
        <v>0</v>
      </c>
      <c r="E16" s="1"/>
      <c r="F16" s="1"/>
      <c r="G16" s="1"/>
      <c r="H16" s="1"/>
      <c r="I16" s="1"/>
      <c r="J16" s="1"/>
      <c r="L16" s="1" t="s">
        <v>93</v>
      </c>
      <c r="M16" s="1" t="s">
        <v>86</v>
      </c>
      <c r="N16" s="1" t="s">
        <v>94</v>
      </c>
    </row>
    <row r="17" spans="1:14" ht="15">
      <c r="A17" s="1"/>
      <c r="B17" s="1" t="s">
        <v>95</v>
      </c>
      <c r="C17" s="1"/>
      <c r="D17" s="78">
        <f>INFO!C17</f>
        <v>0</v>
      </c>
      <c r="E17" s="1"/>
      <c r="J17" s="1"/>
      <c r="L17" s="79" t="e">
        <f>IF(AVERAGE(DCF!K57:O57) &gt; 0, AVERAGE(DCF!K57:O57), 0)</f>
        <v>#DIV/0!</v>
      </c>
      <c r="M17" s="79">
        <v>0.25</v>
      </c>
      <c r="N17" s="72" t="e">
        <f>AVERAGE(L17:M17)</f>
        <v>#DIV/0!</v>
      </c>
    </row>
    <row r="18" spans="1:14" ht="15">
      <c r="A18" s="1"/>
      <c r="B18" s="205" t="s">
        <v>83</v>
      </c>
      <c r="C18" s="206"/>
      <c r="D18" s="75">
        <f>D16*D17</f>
        <v>0</v>
      </c>
      <c r="E18" s="1"/>
      <c r="J18" s="1"/>
    </row>
    <row r="19" spans="1:14" ht="1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4" ht="15">
      <c r="A20" s="1"/>
      <c r="B20" s="205" t="s">
        <v>96</v>
      </c>
      <c r="C20" s="206"/>
      <c r="D20" s="67">
        <f>D13+D8</f>
        <v>0</v>
      </c>
      <c r="E20" s="1"/>
      <c r="F20" s="1"/>
      <c r="G20" s="1"/>
      <c r="H20" s="1"/>
      <c r="I20" s="1"/>
      <c r="J20" s="1"/>
    </row>
    <row r="21" spans="1:14" ht="1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ht="15">
      <c r="A22" s="1" t="s">
        <v>32</v>
      </c>
      <c r="B22" s="80" t="s">
        <v>50</v>
      </c>
      <c r="C22" s="81"/>
      <c r="D22" s="82" t="e">
        <f>(D14*D15)+(D9*(D10*(1-D11)))</f>
        <v>#DIV/0!</v>
      </c>
      <c r="E22" s="1"/>
      <c r="F22" s="1"/>
      <c r="G22" s="1"/>
      <c r="H22" s="1"/>
      <c r="I22" s="1"/>
      <c r="J22" s="1"/>
    </row>
    <row r="25" spans="1:14" ht="15.75" customHeight="1">
      <c r="B25" s="3" t="s">
        <v>97</v>
      </c>
      <c r="F25" s="6" t="s">
        <v>98</v>
      </c>
    </row>
    <row r="27" spans="1:14" ht="15.75" customHeight="1">
      <c r="B27" s="3" t="s">
        <v>99</v>
      </c>
      <c r="F27" s="5" t="str">
        <f>CONCATENATE(CONCATENATE("https://valueinvesting.io/",INFO!C3),"/valuation/wacc")</f>
        <v>https://valueinvesting.io//valuation/wacc</v>
      </c>
    </row>
  </sheetData>
  <mergeCells count="8">
    <mergeCell ref="B16:C16"/>
    <mergeCell ref="B18:C18"/>
    <mergeCell ref="B20:C20"/>
    <mergeCell ref="B5:G5"/>
    <mergeCell ref="B6:H6"/>
    <mergeCell ref="B10:C10"/>
    <mergeCell ref="B13:C13"/>
    <mergeCell ref="B15:C15"/>
  </mergeCells>
  <hyperlinks>
    <hyperlink ref="F2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2:AC91"/>
  <sheetViews>
    <sheetView showGridLines="0" workbookViewId="0">
      <selection activeCell="B2" sqref="B2:E2"/>
    </sheetView>
  </sheetViews>
  <sheetFormatPr baseColWidth="10" defaultColWidth="12.6640625" defaultRowHeight="15.75" customHeight="1"/>
  <cols>
    <col min="1" max="1" width="5" customWidth="1"/>
    <col min="2" max="2" width="66.83203125" bestFit="1" customWidth="1"/>
  </cols>
  <sheetData>
    <row r="2" spans="1:24" ht="15.75" customHeight="1">
      <c r="A2" s="8"/>
      <c r="B2" s="211" t="e">
        <f>CONCATENATE(#REF!," Revenue Breakdown")</f>
        <v>#REF!</v>
      </c>
      <c r="C2" s="212"/>
      <c r="D2" s="212"/>
      <c r="E2" s="212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4" spans="1:24" ht="15">
      <c r="B4" s="209" t="s">
        <v>53</v>
      </c>
      <c r="C4" s="206"/>
      <c r="D4" s="12"/>
      <c r="E4" s="12"/>
      <c r="F4" s="19" t="e">
        <f>#REF!</f>
        <v>#REF!</v>
      </c>
      <c r="G4" s="19" t="e">
        <f>#REF!</f>
        <v>#REF!</v>
      </c>
      <c r="H4" s="19" t="e">
        <f>#REF!</f>
        <v>#REF!</v>
      </c>
      <c r="I4" s="19" t="e">
        <f>#REF!</f>
        <v>#REF!</v>
      </c>
      <c r="J4" s="19" t="e">
        <f>#REF!</f>
        <v>#REF!</v>
      </c>
      <c r="K4" s="19" t="e">
        <f>#REF!</f>
        <v>#REF!</v>
      </c>
      <c r="L4" s="19" t="e">
        <f>#REF!</f>
        <v>#REF!</v>
      </c>
      <c r="M4" s="19" t="e">
        <f>#REF!</f>
        <v>#REF!</v>
      </c>
      <c r="N4" s="19" t="e">
        <f>#REF!</f>
        <v>#REF!</v>
      </c>
      <c r="O4" s="19" t="e">
        <f>#REF!</f>
        <v>#REF!</v>
      </c>
      <c r="P4" s="19" t="s">
        <v>54</v>
      </c>
    </row>
    <row r="5" spans="1:24" ht="15">
      <c r="B5" s="1" t="s">
        <v>55</v>
      </c>
      <c r="C5" s="1"/>
      <c r="D5" s="1"/>
      <c r="E5" s="1"/>
      <c r="F5" s="20" t="e">
        <f>#REF!/1000000</f>
        <v>#REF!</v>
      </c>
      <c r="G5" s="20" t="e">
        <f>#REF!/1000000</f>
        <v>#REF!</v>
      </c>
      <c r="H5" s="20" t="e">
        <f>#REF!/1000000</f>
        <v>#REF!</v>
      </c>
      <c r="I5" s="20" t="e">
        <f>#REF!/1000000</f>
        <v>#REF!</v>
      </c>
      <c r="J5" s="20" t="e">
        <f>#REF!/1000000</f>
        <v>#REF!</v>
      </c>
      <c r="K5" s="20" t="e">
        <f>#REF!/1000000</f>
        <v>#REF!</v>
      </c>
      <c r="L5" s="20" t="e">
        <f>#REF!/1000000</f>
        <v>#REF!</v>
      </c>
      <c r="M5" s="20" t="e">
        <f>#REF!/1000000</f>
        <v>#REF!</v>
      </c>
      <c r="N5" s="20" t="e">
        <f>#REF!/1000000</f>
        <v>#REF!</v>
      </c>
      <c r="O5" s="20" t="e">
        <f>#REF!/1000000</f>
        <v>#REF!</v>
      </c>
      <c r="P5" s="21" t="e">
        <f>#REF!/1000000</f>
        <v>#REF!</v>
      </c>
    </row>
    <row r="6" spans="1:24" ht="15">
      <c r="B6" s="23" t="s">
        <v>56</v>
      </c>
      <c r="C6" s="1"/>
      <c r="D6" s="1"/>
      <c r="E6" s="1"/>
      <c r="F6" s="1"/>
      <c r="G6" s="24" t="e">
        <f t="shared" ref="G6:O6" si="0">(G5/F5)-1</f>
        <v>#REF!</v>
      </c>
      <c r="H6" s="24" t="e">
        <f t="shared" si="0"/>
        <v>#REF!</v>
      </c>
      <c r="I6" s="24" t="e">
        <f t="shared" si="0"/>
        <v>#REF!</v>
      </c>
      <c r="J6" s="24" t="e">
        <f t="shared" si="0"/>
        <v>#REF!</v>
      </c>
      <c r="K6" s="24" t="e">
        <f t="shared" si="0"/>
        <v>#REF!</v>
      </c>
      <c r="L6" s="24" t="e">
        <f t="shared" si="0"/>
        <v>#REF!</v>
      </c>
      <c r="M6" s="24" t="e">
        <f t="shared" si="0"/>
        <v>#REF!</v>
      </c>
      <c r="N6" s="24" t="e">
        <f t="shared" si="0"/>
        <v>#REF!</v>
      </c>
      <c r="O6" s="24" t="e">
        <f t="shared" si="0"/>
        <v>#REF!</v>
      </c>
      <c r="P6" s="25" t="e">
        <f>SUM(#REF!)/SUM(#REF!) - 1</f>
        <v>#REF!</v>
      </c>
    </row>
    <row r="7" spans="1:24" ht="15.75" customHeight="1">
      <c r="P7" s="27"/>
    </row>
    <row r="8" spans="1:24" ht="15.75" customHeight="1">
      <c r="B8" s="77" t="str">
        <f t="shared" ref="B8:E8" si="1">B63</f>
        <v>Google Services total</v>
      </c>
      <c r="C8" s="77">
        <f t="shared" si="1"/>
        <v>0</v>
      </c>
      <c r="D8" s="77">
        <f t="shared" si="1"/>
        <v>0</v>
      </c>
      <c r="E8" s="77">
        <f t="shared" si="1"/>
        <v>0</v>
      </c>
      <c r="F8" s="77"/>
      <c r="G8" s="77"/>
      <c r="H8" s="77"/>
      <c r="I8" s="77"/>
      <c r="J8" s="83">
        <f t="shared" ref="J8:O8" si="2">J63</f>
        <v>106491</v>
      </c>
      <c r="K8" s="83">
        <f t="shared" si="2"/>
        <v>130524</v>
      </c>
      <c r="L8" s="83">
        <f t="shared" si="2"/>
        <v>151825</v>
      </c>
      <c r="M8" s="83">
        <f t="shared" si="2"/>
        <v>168635</v>
      </c>
      <c r="N8" s="83">
        <f t="shared" si="2"/>
        <v>237529</v>
      </c>
      <c r="O8" s="83">
        <f t="shared" si="2"/>
        <v>253528</v>
      </c>
      <c r="P8" s="27"/>
    </row>
    <row r="9" spans="1:24" ht="15">
      <c r="B9" s="23" t="str">
        <f>IF(COUNTA(F8:O8), "% growth", "")</f>
        <v>% growth</v>
      </c>
      <c r="F9" s="84" t="e">
        <f t="shared" ref="F9:O9" si="3">IF(ISBLANK(E8), "", (F8/E8)-1)</f>
        <v>#DIV/0!</v>
      </c>
      <c r="G9" s="84" t="str">
        <f t="shared" si="3"/>
        <v/>
      </c>
      <c r="H9" s="84" t="str">
        <f t="shared" si="3"/>
        <v/>
      </c>
      <c r="I9" s="84" t="str">
        <f t="shared" si="3"/>
        <v/>
      </c>
      <c r="J9" s="84" t="str">
        <f t="shared" si="3"/>
        <v/>
      </c>
      <c r="K9" s="84">
        <f t="shared" si="3"/>
        <v>0.22568104346846218</v>
      </c>
      <c r="L9" s="84">
        <f t="shared" si="3"/>
        <v>0.16319604057491333</v>
      </c>
      <c r="M9" s="84">
        <f t="shared" si="3"/>
        <v>0.11071957846204517</v>
      </c>
      <c r="N9" s="84">
        <f t="shared" si="3"/>
        <v>0.40853915260770313</v>
      </c>
      <c r="O9" s="84">
        <f t="shared" si="3"/>
        <v>6.7355986005919188E-2</v>
      </c>
      <c r="P9" s="27"/>
    </row>
    <row r="10" spans="1:24" ht="15">
      <c r="B10" s="23" t="str">
        <f>IF(COUNTA(F8:O8), "% of revenue", "")</f>
        <v>% of revenue</v>
      </c>
      <c r="J10" s="84" t="e">
        <f t="shared" ref="J10:O10" si="4">J8/J$5</f>
        <v>#REF!</v>
      </c>
      <c r="K10" s="84" t="e">
        <f t="shared" si="4"/>
        <v>#REF!</v>
      </c>
      <c r="L10" s="84" t="e">
        <f t="shared" si="4"/>
        <v>#REF!</v>
      </c>
      <c r="M10" s="84" t="e">
        <f t="shared" si="4"/>
        <v>#REF!</v>
      </c>
      <c r="N10" s="84" t="e">
        <f t="shared" si="4"/>
        <v>#REF!</v>
      </c>
      <c r="O10" s="84" t="e">
        <f t="shared" si="4"/>
        <v>#REF!</v>
      </c>
      <c r="P10" s="27"/>
    </row>
    <row r="11" spans="1:24" ht="15.75" customHeight="1">
      <c r="P11" s="27"/>
    </row>
    <row r="12" spans="1:24" ht="15.75" customHeight="1">
      <c r="A12" s="3"/>
      <c r="B12" s="77" t="str">
        <f t="shared" ref="B12:O12" si="5">B64</f>
        <v>Google Cloud</v>
      </c>
      <c r="C12" s="77">
        <f t="shared" si="5"/>
        <v>0</v>
      </c>
      <c r="D12" s="77">
        <f t="shared" si="5"/>
        <v>0</v>
      </c>
      <c r="E12" s="77">
        <f t="shared" si="5"/>
        <v>0</v>
      </c>
      <c r="F12" s="83">
        <f t="shared" si="5"/>
        <v>0</v>
      </c>
      <c r="G12" s="83">
        <f t="shared" si="5"/>
        <v>0</v>
      </c>
      <c r="H12" s="83">
        <f t="shared" si="5"/>
        <v>0</v>
      </c>
      <c r="I12" s="83">
        <f t="shared" si="5"/>
        <v>0</v>
      </c>
      <c r="J12" s="83">
        <f t="shared" si="5"/>
        <v>4056</v>
      </c>
      <c r="K12" s="83">
        <f t="shared" si="5"/>
        <v>5838</v>
      </c>
      <c r="L12" s="83">
        <f t="shared" si="5"/>
        <v>8918</v>
      </c>
      <c r="M12" s="83">
        <f t="shared" si="5"/>
        <v>13059</v>
      </c>
      <c r="N12" s="85">
        <f t="shared" si="5"/>
        <v>19206</v>
      </c>
      <c r="O12" s="85">
        <f t="shared" si="5"/>
        <v>26280</v>
      </c>
      <c r="P12" s="27"/>
    </row>
    <row r="13" spans="1:24" ht="15">
      <c r="B13" s="23" t="str">
        <f>IF(COUNTA(F12:O12), "% growth", "")</f>
        <v>% growth</v>
      </c>
      <c r="F13" s="84" t="e">
        <f t="shared" ref="F13:O13" si="6">IF(ISBLANK(E12), "", (F12/E12)-1)</f>
        <v>#DIV/0!</v>
      </c>
      <c r="G13" s="84" t="e">
        <f t="shared" si="6"/>
        <v>#DIV/0!</v>
      </c>
      <c r="H13" s="84" t="e">
        <f t="shared" si="6"/>
        <v>#DIV/0!</v>
      </c>
      <c r="I13" s="84" t="e">
        <f t="shared" si="6"/>
        <v>#DIV/0!</v>
      </c>
      <c r="J13" s="84" t="e">
        <f t="shared" si="6"/>
        <v>#DIV/0!</v>
      </c>
      <c r="K13" s="84">
        <f t="shared" si="6"/>
        <v>0.43934911242603558</v>
      </c>
      <c r="L13" s="84">
        <f t="shared" si="6"/>
        <v>0.52757793764988015</v>
      </c>
      <c r="M13" s="84">
        <f t="shared" si="6"/>
        <v>0.46434178066831122</v>
      </c>
      <c r="N13" s="84">
        <f t="shared" si="6"/>
        <v>0.47070985527222597</v>
      </c>
      <c r="O13" s="84">
        <f t="shared" si="6"/>
        <v>0.36832239925023424</v>
      </c>
      <c r="P13" s="27"/>
    </row>
    <row r="14" spans="1:24" ht="15">
      <c r="B14" s="23" t="str">
        <f>IF(COUNTA(F12:O12), "% of revenue", "")</f>
        <v>% of revenue</v>
      </c>
      <c r="F14" s="84" t="str">
        <f>IF(ISBLANK(E13), "", (F13/E13)-1)</f>
        <v/>
      </c>
      <c r="J14" s="84" t="e">
        <f t="shared" ref="J14:O14" si="7">J12/J$5</f>
        <v>#REF!</v>
      </c>
      <c r="K14" s="84" t="e">
        <f t="shared" si="7"/>
        <v>#REF!</v>
      </c>
      <c r="L14" s="84" t="e">
        <f t="shared" si="7"/>
        <v>#REF!</v>
      </c>
      <c r="M14" s="84" t="e">
        <f t="shared" si="7"/>
        <v>#REF!</v>
      </c>
      <c r="N14" s="84" t="e">
        <f t="shared" si="7"/>
        <v>#REF!</v>
      </c>
      <c r="O14" s="84" t="e">
        <f t="shared" si="7"/>
        <v>#REF!</v>
      </c>
      <c r="P14" s="27"/>
    </row>
    <row r="15" spans="1:24" ht="15.75" customHeight="1">
      <c r="P15" s="27"/>
    </row>
    <row r="16" spans="1:24" ht="15.75" customHeight="1">
      <c r="B16" s="77" t="str">
        <f t="shared" ref="B16:O16" si="8">B65</f>
        <v>Other Bets</v>
      </c>
      <c r="C16" s="77">
        <f t="shared" si="8"/>
        <v>0</v>
      </c>
      <c r="D16" s="77">
        <f t="shared" si="8"/>
        <v>0</v>
      </c>
      <c r="E16" s="77">
        <f t="shared" si="8"/>
        <v>0</v>
      </c>
      <c r="F16" s="83">
        <f t="shared" si="8"/>
        <v>0</v>
      </c>
      <c r="G16" s="83">
        <f t="shared" si="8"/>
        <v>0</v>
      </c>
      <c r="H16" s="83">
        <f t="shared" si="8"/>
        <v>0</v>
      </c>
      <c r="I16" s="83">
        <f t="shared" si="8"/>
        <v>0</v>
      </c>
      <c r="J16" s="83">
        <f t="shared" si="8"/>
        <v>477</v>
      </c>
      <c r="K16" s="83">
        <f t="shared" si="8"/>
        <v>595</v>
      </c>
      <c r="L16" s="83">
        <f t="shared" si="8"/>
        <v>6569</v>
      </c>
      <c r="M16" s="83">
        <f t="shared" si="8"/>
        <v>657</v>
      </c>
      <c r="N16" s="77">
        <f t="shared" si="8"/>
        <v>753</v>
      </c>
      <c r="O16" s="85">
        <f t="shared" si="8"/>
        <v>1068</v>
      </c>
      <c r="P16" s="27"/>
    </row>
    <row r="17" spans="2:16" ht="15">
      <c r="B17" s="23" t="str">
        <f>IF(COUNTA(F16:O16), "% growth", "")</f>
        <v>% growth</v>
      </c>
      <c r="F17" s="84" t="e">
        <f t="shared" ref="F17:O17" si="9">IF(ISBLANK(E16), "", (F16/E16)-1)</f>
        <v>#DIV/0!</v>
      </c>
      <c r="G17" s="84" t="e">
        <f t="shared" si="9"/>
        <v>#DIV/0!</v>
      </c>
      <c r="H17" s="84" t="e">
        <f t="shared" si="9"/>
        <v>#DIV/0!</v>
      </c>
      <c r="I17" s="84" t="e">
        <f t="shared" si="9"/>
        <v>#DIV/0!</v>
      </c>
      <c r="J17" s="84" t="e">
        <f t="shared" si="9"/>
        <v>#DIV/0!</v>
      </c>
      <c r="K17" s="84">
        <f t="shared" si="9"/>
        <v>0.24737945492662483</v>
      </c>
      <c r="L17" s="84">
        <f t="shared" si="9"/>
        <v>10.040336134453781</v>
      </c>
      <c r="M17" s="84">
        <f t="shared" si="9"/>
        <v>-0.899984776982798</v>
      </c>
      <c r="N17" s="84">
        <f t="shared" si="9"/>
        <v>0.14611872146118721</v>
      </c>
      <c r="O17" s="84">
        <f t="shared" si="9"/>
        <v>0.41832669322709171</v>
      </c>
      <c r="P17" s="27"/>
    </row>
    <row r="18" spans="2:16" ht="15">
      <c r="B18" s="23" t="str">
        <f>IF(COUNTA(F16:O16), "% of revenue", "")</f>
        <v>% of revenue</v>
      </c>
      <c r="J18" s="84" t="e">
        <f t="shared" ref="J18:O18" si="10">J16/J$5</f>
        <v>#REF!</v>
      </c>
      <c r="K18" s="84" t="e">
        <f t="shared" si="10"/>
        <v>#REF!</v>
      </c>
      <c r="L18" s="84" t="e">
        <f t="shared" si="10"/>
        <v>#REF!</v>
      </c>
      <c r="M18" s="84" t="e">
        <f t="shared" si="10"/>
        <v>#REF!</v>
      </c>
      <c r="N18" s="84" t="e">
        <f t="shared" si="10"/>
        <v>#REF!</v>
      </c>
      <c r="O18" s="84" t="e">
        <f t="shared" si="10"/>
        <v>#REF!</v>
      </c>
      <c r="P18" s="27"/>
    </row>
    <row r="19" spans="2:16" ht="15.75" customHeight="1">
      <c r="P19" s="27"/>
    </row>
    <row r="20" spans="2:16" ht="15.75" customHeight="1">
      <c r="B20" s="77" t="str">
        <f t="shared" ref="B20:O20" si="11">B66</f>
        <v>Hedging gains (losses)</v>
      </c>
      <c r="C20" s="77">
        <f t="shared" si="11"/>
        <v>0</v>
      </c>
      <c r="D20" s="77">
        <f t="shared" si="11"/>
        <v>0</v>
      </c>
      <c r="E20" s="77">
        <f t="shared" si="11"/>
        <v>0</v>
      </c>
      <c r="F20" s="83">
        <f t="shared" si="11"/>
        <v>0</v>
      </c>
      <c r="G20" s="83">
        <f t="shared" si="11"/>
        <v>0</v>
      </c>
      <c r="H20" s="83">
        <f t="shared" si="11"/>
        <v>0</v>
      </c>
      <c r="I20" s="83">
        <f t="shared" si="11"/>
        <v>0</v>
      </c>
      <c r="J20" s="83">
        <f t="shared" si="11"/>
        <v>-169</v>
      </c>
      <c r="K20" s="83">
        <f t="shared" si="11"/>
        <v>-138</v>
      </c>
      <c r="L20" s="83">
        <f t="shared" si="11"/>
        <v>455</v>
      </c>
      <c r="M20" s="83">
        <f t="shared" si="11"/>
        <v>176</v>
      </c>
      <c r="N20" s="77">
        <f t="shared" si="11"/>
        <v>149</v>
      </c>
      <c r="O20" s="85">
        <f t="shared" si="11"/>
        <v>1960</v>
      </c>
      <c r="P20" s="27"/>
    </row>
    <row r="21" spans="2:16" ht="15">
      <c r="B21" s="23" t="str">
        <f>IF(COUNTA(F20:O20), "% growth", "")</f>
        <v>% growth</v>
      </c>
      <c r="F21" s="84" t="e">
        <f t="shared" ref="F21:O21" si="12">IF(ISBLANK(E20), "", (F20/E20)-1)</f>
        <v>#DIV/0!</v>
      </c>
      <c r="G21" s="84" t="e">
        <f t="shared" si="12"/>
        <v>#DIV/0!</v>
      </c>
      <c r="H21" s="84" t="e">
        <f t="shared" si="12"/>
        <v>#DIV/0!</v>
      </c>
      <c r="I21" s="84" t="e">
        <f t="shared" si="12"/>
        <v>#DIV/0!</v>
      </c>
      <c r="J21" s="84" t="e">
        <f t="shared" si="12"/>
        <v>#DIV/0!</v>
      </c>
      <c r="K21" s="84">
        <f t="shared" si="12"/>
        <v>-0.18343195266272194</v>
      </c>
      <c r="L21" s="84">
        <f t="shared" si="12"/>
        <v>-4.2971014492753623</v>
      </c>
      <c r="M21" s="84">
        <f t="shared" si="12"/>
        <v>-0.61318681318681323</v>
      </c>
      <c r="N21" s="84">
        <f t="shared" si="12"/>
        <v>-0.15340909090909094</v>
      </c>
      <c r="O21" s="84">
        <f t="shared" si="12"/>
        <v>12.154362416107382</v>
      </c>
      <c r="P21" s="27"/>
    </row>
    <row r="22" spans="2:16" ht="15">
      <c r="B22" s="23" t="str">
        <f>IF(COUNTA(F20:O20), "% of revenue", "")</f>
        <v>% of revenue</v>
      </c>
      <c r="J22" s="84" t="e">
        <f t="shared" ref="J22:O22" si="13">J20/J$5</f>
        <v>#REF!</v>
      </c>
      <c r="K22" s="84" t="e">
        <f t="shared" si="13"/>
        <v>#REF!</v>
      </c>
      <c r="L22" s="84" t="e">
        <f t="shared" si="13"/>
        <v>#REF!</v>
      </c>
      <c r="M22" s="84" t="e">
        <f t="shared" si="13"/>
        <v>#REF!</v>
      </c>
      <c r="N22" s="84" t="e">
        <f t="shared" si="13"/>
        <v>#REF!</v>
      </c>
      <c r="O22" s="84" t="e">
        <f t="shared" si="13"/>
        <v>#REF!</v>
      </c>
      <c r="P22" s="27"/>
    </row>
    <row r="23" spans="2:16" ht="15.75" customHeight="1">
      <c r="P23" s="27"/>
    </row>
    <row r="24" spans="2:16" ht="15.75" customHeight="1">
      <c r="P24" s="27"/>
    </row>
    <row r="25" spans="2:16" ht="15">
      <c r="B25" s="23" t="str">
        <f>IF(COUNTA(F24:O24), "% growth", "")</f>
        <v/>
      </c>
      <c r="F25" s="3" t="str">
        <f t="shared" ref="F25:O25" si="14">IF(ISBLANK(F24), "", (G24/F24)-1)</f>
        <v/>
      </c>
      <c r="G25" s="3" t="str">
        <f t="shared" si="14"/>
        <v/>
      </c>
      <c r="H25" s="3" t="str">
        <f t="shared" si="14"/>
        <v/>
      </c>
      <c r="I25" s="3" t="str">
        <f t="shared" si="14"/>
        <v/>
      </c>
      <c r="J25" s="3" t="str">
        <f t="shared" si="14"/>
        <v/>
      </c>
      <c r="K25" s="3" t="str">
        <f t="shared" si="14"/>
        <v/>
      </c>
      <c r="L25" s="3" t="str">
        <f t="shared" si="14"/>
        <v/>
      </c>
      <c r="M25" s="3" t="str">
        <f t="shared" si="14"/>
        <v/>
      </c>
      <c r="N25" s="3" t="str">
        <f t="shared" si="14"/>
        <v/>
      </c>
      <c r="O25" s="3" t="str">
        <f t="shared" si="14"/>
        <v/>
      </c>
      <c r="P25" s="27"/>
    </row>
    <row r="26" spans="2:16" ht="15">
      <c r="B26" s="23" t="str">
        <f>IF(COUNTA(F24:O24), "% of revenue", "")</f>
        <v/>
      </c>
      <c r="P26" s="27"/>
    </row>
    <row r="27" spans="2:16" ht="15.75" customHeight="1">
      <c r="P27" s="27"/>
    </row>
    <row r="28" spans="2:16" ht="15.75" customHeight="1">
      <c r="P28" s="27"/>
    </row>
    <row r="29" spans="2:16" ht="15">
      <c r="B29" s="23" t="str">
        <f>IF(COUNTA(F28:O28), "% growth", "")</f>
        <v/>
      </c>
      <c r="F29" s="3" t="str">
        <f t="shared" ref="F29:O29" si="15">IF(ISBLANK(F28), "", (G28/F28)-1)</f>
        <v/>
      </c>
      <c r="G29" s="3" t="str">
        <f t="shared" si="15"/>
        <v/>
      </c>
      <c r="H29" s="3" t="str">
        <f t="shared" si="15"/>
        <v/>
      </c>
      <c r="I29" s="3" t="str">
        <f t="shared" si="15"/>
        <v/>
      </c>
      <c r="J29" s="3" t="str">
        <f t="shared" si="15"/>
        <v/>
      </c>
      <c r="K29" s="3" t="str">
        <f t="shared" si="15"/>
        <v/>
      </c>
      <c r="L29" s="3" t="str">
        <f t="shared" si="15"/>
        <v/>
      </c>
      <c r="M29" s="3" t="str">
        <f t="shared" si="15"/>
        <v/>
      </c>
      <c r="N29" s="3" t="str">
        <f t="shared" si="15"/>
        <v/>
      </c>
      <c r="O29" s="3" t="str">
        <f t="shared" si="15"/>
        <v/>
      </c>
      <c r="P29" s="27"/>
    </row>
    <row r="30" spans="2:16" ht="15">
      <c r="B30" s="23" t="str">
        <f>IF(COUNTA(F28:O28), "% of revenue", "")</f>
        <v/>
      </c>
      <c r="P30" s="27"/>
    </row>
    <row r="31" spans="2:16" ht="15.75" customHeight="1">
      <c r="P31" s="27"/>
    </row>
    <row r="32" spans="2:16" ht="15.75" customHeight="1">
      <c r="P32" s="27"/>
    </row>
    <row r="33" spans="1:29" ht="15">
      <c r="B33" s="23" t="str">
        <f>IF(COUNTA(F32:O32), "% growth", "")</f>
        <v/>
      </c>
      <c r="F33" s="3" t="str">
        <f t="shared" ref="F33:O33" si="16">IF(ISBLANK(F32), "", (G32/F32)-1)</f>
        <v/>
      </c>
      <c r="G33" s="3" t="str">
        <f t="shared" si="16"/>
        <v/>
      </c>
      <c r="H33" s="3" t="str">
        <f t="shared" si="16"/>
        <v/>
      </c>
      <c r="I33" s="3" t="str">
        <f t="shared" si="16"/>
        <v/>
      </c>
      <c r="J33" s="3" t="str">
        <f t="shared" si="16"/>
        <v/>
      </c>
      <c r="K33" s="3" t="str">
        <f t="shared" si="16"/>
        <v/>
      </c>
      <c r="L33" s="3" t="str">
        <f t="shared" si="16"/>
        <v/>
      </c>
      <c r="M33" s="3" t="str">
        <f t="shared" si="16"/>
        <v/>
      </c>
      <c r="N33" s="3" t="str">
        <f t="shared" si="16"/>
        <v/>
      </c>
      <c r="O33" s="3" t="str">
        <f t="shared" si="16"/>
        <v/>
      </c>
      <c r="P33" s="27"/>
    </row>
    <row r="34" spans="1:29" ht="15">
      <c r="B34" s="23" t="str">
        <f>IF(COUNTA(F32:O32), "% of revenue", "")</f>
        <v/>
      </c>
      <c r="P34" s="27"/>
    </row>
    <row r="35" spans="1:29" ht="15.75" customHeight="1">
      <c r="P35" s="27"/>
    </row>
    <row r="36" spans="1:29" ht="15.75" customHeight="1">
      <c r="P36" s="27"/>
    </row>
    <row r="37" spans="1:29" ht="15">
      <c r="B37" s="23" t="str">
        <f>IF(COUNTA(F36:O36), "% growth", "")</f>
        <v/>
      </c>
      <c r="F37" s="3" t="str">
        <f t="shared" ref="F37:O37" si="17">IF(ISBLANK(F36), "", (G36/F36)-1)</f>
        <v/>
      </c>
      <c r="G37" s="3" t="str">
        <f t="shared" si="17"/>
        <v/>
      </c>
      <c r="H37" s="3" t="str">
        <f t="shared" si="17"/>
        <v/>
      </c>
      <c r="I37" s="3" t="str">
        <f t="shared" si="17"/>
        <v/>
      </c>
      <c r="J37" s="3" t="str">
        <f t="shared" si="17"/>
        <v/>
      </c>
      <c r="K37" s="3" t="str">
        <f t="shared" si="17"/>
        <v/>
      </c>
      <c r="L37" s="3" t="str">
        <f t="shared" si="17"/>
        <v/>
      </c>
      <c r="M37" s="3" t="str">
        <f t="shared" si="17"/>
        <v/>
      </c>
      <c r="N37" s="3" t="str">
        <f t="shared" si="17"/>
        <v/>
      </c>
      <c r="O37" s="3" t="str">
        <f t="shared" si="17"/>
        <v/>
      </c>
      <c r="P37" s="27"/>
    </row>
    <row r="38" spans="1:29" ht="15">
      <c r="B38" s="23" t="str">
        <f>IF(COUNTA(F36:O36), "% of revenue", "")</f>
        <v/>
      </c>
      <c r="P38" s="27"/>
    </row>
    <row r="39" spans="1:29" ht="15.75" customHeight="1">
      <c r="P39" s="27"/>
    </row>
    <row r="40" spans="1:29" ht="15.75" customHeight="1">
      <c r="P40" s="27"/>
    </row>
    <row r="41" spans="1:29" ht="15">
      <c r="B41" s="23" t="str">
        <f>IF(COUNTA(F40:O40), "% growth", "")</f>
        <v/>
      </c>
      <c r="F41" s="3" t="str">
        <f t="shared" ref="F41:O41" si="18">IF(ISBLANK(F40), "", (G40/F40)-1)</f>
        <v/>
      </c>
      <c r="G41" s="3" t="str">
        <f t="shared" si="18"/>
        <v/>
      </c>
      <c r="H41" s="3" t="str">
        <f t="shared" si="18"/>
        <v/>
      </c>
      <c r="I41" s="3" t="str">
        <f t="shared" si="18"/>
        <v/>
      </c>
      <c r="J41" s="3" t="str">
        <f t="shared" si="18"/>
        <v/>
      </c>
      <c r="K41" s="3" t="str">
        <f t="shared" si="18"/>
        <v/>
      </c>
      <c r="L41" s="3" t="str">
        <f t="shared" si="18"/>
        <v/>
      </c>
      <c r="M41" s="3" t="str">
        <f t="shared" si="18"/>
        <v/>
      </c>
      <c r="N41" s="3" t="str">
        <f t="shared" si="18"/>
        <v/>
      </c>
      <c r="O41" s="3" t="str">
        <f t="shared" si="18"/>
        <v/>
      </c>
      <c r="P41" s="27"/>
    </row>
    <row r="42" spans="1:29" ht="15">
      <c r="B42" s="23" t="str">
        <f>IF(COUNTA(F40:O40), "% of revenue", "")</f>
        <v/>
      </c>
      <c r="P42" s="27"/>
    </row>
    <row r="43" spans="1:29" ht="15.75" customHeight="1">
      <c r="P43" s="27"/>
    </row>
    <row r="44" spans="1:29" ht="15.75" customHeight="1">
      <c r="P44" s="27"/>
    </row>
    <row r="45" spans="1:29" ht="15">
      <c r="B45" s="23" t="str">
        <f>IF(COUNTA(F44:O44), "% growth", "")</f>
        <v/>
      </c>
      <c r="F45" s="3" t="str">
        <f t="shared" ref="F45:O45" si="19">IF(ISBLANK(F44), "", (G44/F44)-1)</f>
        <v/>
      </c>
      <c r="G45" s="3" t="str">
        <f t="shared" si="19"/>
        <v/>
      </c>
      <c r="H45" s="3" t="str">
        <f t="shared" si="19"/>
        <v/>
      </c>
      <c r="I45" s="3" t="str">
        <f t="shared" si="19"/>
        <v/>
      </c>
      <c r="J45" s="3" t="str">
        <f t="shared" si="19"/>
        <v/>
      </c>
      <c r="K45" s="3" t="str">
        <f t="shared" si="19"/>
        <v/>
      </c>
      <c r="L45" s="3" t="str">
        <f t="shared" si="19"/>
        <v/>
      </c>
      <c r="M45" s="3" t="str">
        <f t="shared" si="19"/>
        <v/>
      </c>
      <c r="N45" s="3" t="str">
        <f t="shared" si="19"/>
        <v/>
      </c>
      <c r="O45" s="3" t="str">
        <f t="shared" si="19"/>
        <v/>
      </c>
      <c r="P45" s="27"/>
    </row>
    <row r="46" spans="1:29" ht="15">
      <c r="B46" s="23" t="str">
        <f>IF(COUNTA(F44:O44), "% of revenue", "")</f>
        <v/>
      </c>
      <c r="P46" s="27"/>
    </row>
    <row r="47" spans="1:29" ht="13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</row>
    <row r="48" spans="1:29" ht="19">
      <c r="B48" s="87" t="e">
        <f>CONCATENATE(#REF!," SEC Revenue Breakdown")</f>
        <v>#REF!</v>
      </c>
    </row>
    <row r="49" spans="2:21" ht="13">
      <c r="B49" s="3" t="s">
        <v>100</v>
      </c>
      <c r="F49" s="5" t="e">
        <f>"https://www.sec.gov/edgar/browse/?CIK="&amp;#REF!</f>
        <v>#REF!</v>
      </c>
    </row>
    <row r="50" spans="2:21" ht="13">
      <c r="B50" s="3" t="s">
        <v>101</v>
      </c>
    </row>
    <row r="51" spans="2:21" ht="13">
      <c r="B51" s="3" t="s">
        <v>102</v>
      </c>
    </row>
    <row r="52" spans="2:21" ht="13">
      <c r="B52" s="77" t="s">
        <v>103</v>
      </c>
    </row>
    <row r="53" spans="2:21" ht="13">
      <c r="B53" s="3" t="s">
        <v>104</v>
      </c>
    </row>
    <row r="54" spans="2:21" ht="13">
      <c r="B54" s="3" t="s">
        <v>105</v>
      </c>
    </row>
    <row r="55" spans="2:21" ht="13">
      <c r="B55" s="3" t="s">
        <v>106</v>
      </c>
    </row>
    <row r="57" spans="2:21" ht="15">
      <c r="B57" s="209" t="s">
        <v>107</v>
      </c>
      <c r="C57" s="206"/>
      <c r="D57" s="12"/>
      <c r="E57" s="12"/>
      <c r="F57" s="19" t="e">
        <f t="shared" ref="F57:O57" si="20">F4</f>
        <v>#REF!</v>
      </c>
      <c r="G57" s="19" t="e">
        <f t="shared" si="20"/>
        <v>#REF!</v>
      </c>
      <c r="H57" s="19" t="e">
        <f t="shared" si="20"/>
        <v>#REF!</v>
      </c>
      <c r="I57" s="19" t="e">
        <f t="shared" si="20"/>
        <v>#REF!</v>
      </c>
      <c r="J57" s="19" t="e">
        <f t="shared" si="20"/>
        <v>#REF!</v>
      </c>
      <c r="K57" s="19" t="e">
        <f t="shared" si="20"/>
        <v>#REF!</v>
      </c>
      <c r="L57" s="19" t="e">
        <f t="shared" si="20"/>
        <v>#REF!</v>
      </c>
      <c r="M57" s="19" t="e">
        <f t="shared" si="20"/>
        <v>#REF!</v>
      </c>
      <c r="N57" s="19" t="e">
        <f t="shared" si="20"/>
        <v>#REF!</v>
      </c>
      <c r="O57" s="19" t="e">
        <f t="shared" si="20"/>
        <v>#REF!</v>
      </c>
      <c r="U57" s="19" t="s">
        <v>54</v>
      </c>
    </row>
    <row r="58" spans="2:21" ht="15">
      <c r="C58" s="77" t="s">
        <v>108</v>
      </c>
      <c r="D58" s="1"/>
      <c r="E58" s="1"/>
      <c r="F58" s="20"/>
      <c r="G58" s="20"/>
      <c r="H58" s="20"/>
      <c r="I58" s="20"/>
      <c r="J58" s="20">
        <v>69811</v>
      </c>
      <c r="K58" s="20">
        <v>85296</v>
      </c>
      <c r="L58" s="20">
        <v>98115</v>
      </c>
      <c r="M58" s="88">
        <v>104062</v>
      </c>
      <c r="N58" s="89">
        <v>148951</v>
      </c>
      <c r="O58" s="89">
        <v>162450</v>
      </c>
      <c r="U58" s="89">
        <v>40359</v>
      </c>
    </row>
    <row r="59" spans="2:21" ht="15">
      <c r="C59" s="77" t="s">
        <v>109</v>
      </c>
      <c r="D59" s="1"/>
      <c r="E59" s="1"/>
      <c r="F59" s="90"/>
      <c r="G59" s="91"/>
      <c r="H59" s="91"/>
      <c r="I59" s="91"/>
      <c r="J59" s="91">
        <v>8150</v>
      </c>
      <c r="K59" s="91">
        <v>11155</v>
      </c>
      <c r="L59" s="91">
        <v>15149</v>
      </c>
      <c r="M59" s="88">
        <v>19772</v>
      </c>
      <c r="N59" s="89">
        <v>28845</v>
      </c>
      <c r="O59" s="89">
        <v>29243</v>
      </c>
      <c r="U59" s="89">
        <v>6693</v>
      </c>
    </row>
    <row r="60" spans="2:21" ht="13">
      <c r="C60" s="77" t="s">
        <v>110</v>
      </c>
      <c r="F60" s="88"/>
      <c r="G60" s="88"/>
      <c r="H60" s="88"/>
      <c r="I60" s="88"/>
      <c r="J60" s="88">
        <v>17616</v>
      </c>
      <c r="K60" s="88">
        <v>20010</v>
      </c>
      <c r="L60" s="88">
        <v>21547</v>
      </c>
      <c r="M60" s="88">
        <v>23090</v>
      </c>
      <c r="N60" s="89">
        <v>31701</v>
      </c>
      <c r="O60" s="89">
        <v>32780</v>
      </c>
      <c r="U60" s="89">
        <v>7496</v>
      </c>
    </row>
    <row r="61" spans="2:21" ht="13">
      <c r="D61" s="92" t="s">
        <v>111</v>
      </c>
      <c r="E61" s="86"/>
      <c r="F61" s="93">
        <f t="shared" ref="F61:O61" si="21">SUM(F58:F60)</f>
        <v>0</v>
      </c>
      <c r="G61" s="93">
        <f t="shared" si="21"/>
        <v>0</v>
      </c>
      <c r="H61" s="93">
        <f t="shared" si="21"/>
        <v>0</v>
      </c>
      <c r="I61" s="93">
        <f t="shared" si="21"/>
        <v>0</v>
      </c>
      <c r="J61" s="93">
        <f t="shared" si="21"/>
        <v>95577</v>
      </c>
      <c r="K61" s="93">
        <f t="shared" si="21"/>
        <v>116461</v>
      </c>
      <c r="L61" s="93">
        <f t="shared" si="21"/>
        <v>134811</v>
      </c>
      <c r="M61" s="93">
        <f t="shared" si="21"/>
        <v>146924</v>
      </c>
      <c r="N61" s="93">
        <f t="shared" si="21"/>
        <v>209497</v>
      </c>
      <c r="O61" s="93">
        <f t="shared" si="21"/>
        <v>224473</v>
      </c>
      <c r="U61" s="93">
        <f>SUM(U58:U60)</f>
        <v>54548</v>
      </c>
    </row>
    <row r="62" spans="2:21" ht="13">
      <c r="C62" s="77" t="s">
        <v>112</v>
      </c>
      <c r="F62" s="88"/>
      <c r="G62" s="88"/>
      <c r="H62" s="88"/>
      <c r="I62" s="88"/>
      <c r="J62" s="88">
        <v>10914</v>
      </c>
      <c r="K62" s="88">
        <v>14063</v>
      </c>
      <c r="L62" s="88">
        <v>17014</v>
      </c>
      <c r="M62" s="88">
        <v>21711</v>
      </c>
      <c r="N62" s="89">
        <v>28032</v>
      </c>
      <c r="O62" s="89">
        <v>29055</v>
      </c>
      <c r="U62" s="89">
        <v>29055</v>
      </c>
    </row>
    <row r="63" spans="2:21" ht="13">
      <c r="B63" s="92" t="s">
        <v>113</v>
      </c>
      <c r="C63" s="86"/>
      <c r="D63" s="86"/>
      <c r="E63" s="86"/>
      <c r="F63" s="93">
        <f t="shared" ref="F63:O63" si="22">SUM(F61:F62)</f>
        <v>0</v>
      </c>
      <c r="G63" s="93">
        <f t="shared" si="22"/>
        <v>0</v>
      </c>
      <c r="H63" s="93">
        <f t="shared" si="22"/>
        <v>0</v>
      </c>
      <c r="I63" s="93">
        <f t="shared" si="22"/>
        <v>0</v>
      </c>
      <c r="J63" s="93">
        <f t="shared" si="22"/>
        <v>106491</v>
      </c>
      <c r="K63" s="93">
        <f t="shared" si="22"/>
        <v>130524</v>
      </c>
      <c r="L63" s="93">
        <f t="shared" si="22"/>
        <v>151825</v>
      </c>
      <c r="M63" s="93">
        <f t="shared" si="22"/>
        <v>168635</v>
      </c>
      <c r="N63" s="93">
        <f t="shared" si="22"/>
        <v>237529</v>
      </c>
      <c r="O63" s="93">
        <f t="shared" si="22"/>
        <v>253528</v>
      </c>
      <c r="U63" s="94">
        <v>253528</v>
      </c>
    </row>
    <row r="64" spans="2:21" ht="13">
      <c r="B64" s="77" t="s">
        <v>114</v>
      </c>
      <c r="F64" s="88"/>
      <c r="G64" s="88"/>
      <c r="H64" s="88"/>
      <c r="I64" s="88"/>
      <c r="J64" s="88">
        <v>4056</v>
      </c>
      <c r="K64" s="88">
        <v>5838</v>
      </c>
      <c r="L64" s="88">
        <v>8918</v>
      </c>
      <c r="M64" s="88">
        <v>13059</v>
      </c>
      <c r="N64" s="89">
        <v>19206</v>
      </c>
      <c r="O64" s="89">
        <v>26280</v>
      </c>
      <c r="U64" s="89">
        <v>26280</v>
      </c>
    </row>
    <row r="65" spans="1:29" ht="13">
      <c r="B65" s="77" t="s">
        <v>115</v>
      </c>
      <c r="F65" s="88"/>
      <c r="G65" s="88"/>
      <c r="H65" s="88"/>
      <c r="I65" s="88"/>
      <c r="J65" s="88">
        <v>477</v>
      </c>
      <c r="K65" s="88">
        <v>595</v>
      </c>
      <c r="L65" s="88">
        <v>6569</v>
      </c>
      <c r="M65" s="88">
        <v>657</v>
      </c>
      <c r="N65" s="3">
        <v>753</v>
      </c>
      <c r="O65" s="89">
        <v>1068</v>
      </c>
      <c r="U65" s="89">
        <v>1068</v>
      </c>
    </row>
    <row r="66" spans="1:29" ht="13">
      <c r="B66" s="77" t="s">
        <v>116</v>
      </c>
      <c r="F66" s="88"/>
      <c r="G66" s="88"/>
      <c r="H66" s="88"/>
      <c r="I66" s="88"/>
      <c r="J66" s="88">
        <v>-169</v>
      </c>
      <c r="K66" s="88">
        <v>-138</v>
      </c>
      <c r="L66" s="88">
        <v>455</v>
      </c>
      <c r="M66" s="88">
        <v>176</v>
      </c>
      <c r="N66" s="3">
        <v>149</v>
      </c>
      <c r="O66" s="89">
        <v>1960</v>
      </c>
      <c r="U66" s="89">
        <v>1960</v>
      </c>
    </row>
    <row r="67" spans="1:29" ht="13">
      <c r="B67" s="92" t="s">
        <v>117</v>
      </c>
      <c r="C67" s="86"/>
      <c r="D67" s="86"/>
      <c r="E67" s="86"/>
      <c r="F67" s="95">
        <f t="shared" ref="F67:O67" si="23">SUM(F63:F66)</f>
        <v>0</v>
      </c>
      <c r="G67" s="95">
        <f t="shared" si="23"/>
        <v>0</v>
      </c>
      <c r="H67" s="95">
        <f t="shared" si="23"/>
        <v>0</v>
      </c>
      <c r="I67" s="95">
        <f t="shared" si="23"/>
        <v>0</v>
      </c>
      <c r="J67" s="95">
        <f t="shared" si="23"/>
        <v>110855</v>
      </c>
      <c r="K67" s="95">
        <f t="shared" si="23"/>
        <v>136819</v>
      </c>
      <c r="L67" s="95">
        <f t="shared" si="23"/>
        <v>167767</v>
      </c>
      <c r="M67" s="95">
        <f t="shared" si="23"/>
        <v>182527</v>
      </c>
      <c r="N67" s="95">
        <f t="shared" si="23"/>
        <v>257637</v>
      </c>
      <c r="O67" s="95">
        <f t="shared" si="23"/>
        <v>282836</v>
      </c>
      <c r="U67" s="96">
        <f>SUM(U58:U66)</f>
        <v>420987</v>
      </c>
    </row>
    <row r="80" spans="1:29" ht="13">
      <c r="A80" s="86"/>
      <c r="B80" s="86" t="s">
        <v>118</v>
      </c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</row>
    <row r="81" spans="2:12" ht="13">
      <c r="C81" s="3">
        <v>2020</v>
      </c>
      <c r="E81" s="3">
        <v>2021</v>
      </c>
      <c r="G81" s="3">
        <v>2022</v>
      </c>
    </row>
    <row r="82" spans="2:12" ht="13">
      <c r="B82" s="3" t="s">
        <v>108</v>
      </c>
      <c r="C82" s="3" t="s">
        <v>119</v>
      </c>
      <c r="D82" s="89">
        <v>104062</v>
      </c>
      <c r="G82" s="3" t="s">
        <v>119</v>
      </c>
      <c r="H82" s="89">
        <v>148951</v>
      </c>
      <c r="K82" s="3" t="s">
        <v>119</v>
      </c>
      <c r="L82" s="89">
        <v>162450</v>
      </c>
    </row>
    <row r="83" spans="2:12" ht="13">
      <c r="B83" s="3" t="s">
        <v>109</v>
      </c>
      <c r="C83" s="89">
        <v>19772</v>
      </c>
      <c r="F83" s="89">
        <v>28845</v>
      </c>
      <c r="I83" s="89">
        <v>29243</v>
      </c>
    </row>
    <row r="84" spans="2:12" ht="13">
      <c r="B84" s="3" t="s">
        <v>110</v>
      </c>
      <c r="C84" s="89">
        <v>23090</v>
      </c>
      <c r="F84" s="89">
        <v>31701</v>
      </c>
      <c r="I84" s="89">
        <v>32780</v>
      </c>
    </row>
    <row r="85" spans="2:12" ht="13">
      <c r="B85" s="3" t="s">
        <v>111</v>
      </c>
      <c r="C85" s="89">
        <v>146924</v>
      </c>
      <c r="F85" s="89">
        <v>209497</v>
      </c>
      <c r="I85" s="89">
        <v>224473</v>
      </c>
    </row>
    <row r="86" spans="2:12" ht="13">
      <c r="B86" s="3" t="s">
        <v>112</v>
      </c>
      <c r="C86" s="89">
        <v>21711</v>
      </c>
      <c r="F86" s="89">
        <v>28032</v>
      </c>
      <c r="I86" s="89">
        <v>29055</v>
      </c>
    </row>
    <row r="87" spans="2:12" ht="13">
      <c r="B87" s="3" t="s">
        <v>113</v>
      </c>
      <c r="C87" s="89">
        <v>168635</v>
      </c>
      <c r="F87" s="89">
        <v>237529</v>
      </c>
      <c r="I87" s="89">
        <v>253528</v>
      </c>
    </row>
    <row r="88" spans="2:12" ht="13">
      <c r="B88" s="3" t="s">
        <v>114</v>
      </c>
      <c r="C88" s="89">
        <v>13059</v>
      </c>
      <c r="F88" s="89">
        <v>19206</v>
      </c>
      <c r="I88" s="89">
        <v>26280</v>
      </c>
    </row>
    <row r="89" spans="2:12" ht="13">
      <c r="B89" s="3" t="s">
        <v>115</v>
      </c>
      <c r="C89" s="3">
        <v>657</v>
      </c>
      <c r="F89" s="3">
        <v>753</v>
      </c>
      <c r="I89" s="89">
        <v>1068</v>
      </c>
    </row>
    <row r="90" spans="2:12" ht="13">
      <c r="B90" s="3" t="s">
        <v>116</v>
      </c>
      <c r="C90" s="3">
        <v>176</v>
      </c>
      <c r="F90" s="3">
        <v>149</v>
      </c>
      <c r="I90" s="89">
        <v>1960</v>
      </c>
    </row>
    <row r="91" spans="2:12" ht="13">
      <c r="B91" s="3" t="s">
        <v>117</v>
      </c>
      <c r="C91" s="3" t="s">
        <v>119</v>
      </c>
      <c r="D91" s="89">
        <v>182527</v>
      </c>
      <c r="G91" s="3" t="s">
        <v>119</v>
      </c>
      <c r="H91" s="89">
        <v>257637</v>
      </c>
      <c r="K91" s="3" t="s">
        <v>119</v>
      </c>
      <c r="L91" s="89">
        <v>282836</v>
      </c>
    </row>
  </sheetData>
  <mergeCells count="3">
    <mergeCell ref="B2:E2"/>
    <mergeCell ref="B4:C4"/>
    <mergeCell ref="B57:C57"/>
  </mergeCells>
  <conditionalFormatting sqref="F5:P5 F58:L58">
    <cfRule type="cellIs" dxfId="6" priority="1" operator="greaterThanOrEqual">
      <formula>0</formula>
    </cfRule>
    <cfRule type="cellIs" dxfId="5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AA53"/>
  <sheetViews>
    <sheetView showGridLines="0" topLeftCell="G19" workbookViewId="0">
      <selection activeCell="AK53" sqref="AK53"/>
    </sheetView>
  </sheetViews>
  <sheetFormatPr baseColWidth="10" defaultColWidth="12.6640625" defaultRowHeight="15.75" customHeight="1"/>
  <cols>
    <col min="1" max="1" width="3.6640625" customWidth="1"/>
    <col min="2" max="2" width="48.1640625" bestFit="1" customWidth="1"/>
    <col min="3" max="3" width="13.33203125" customWidth="1"/>
    <col min="4" max="4" width="12" customWidth="1"/>
    <col min="5" max="5" width="26.6640625" bestFit="1" customWidth="1"/>
    <col min="6" max="6" width="20" bestFit="1" customWidth="1"/>
    <col min="7" max="7" width="27.5" bestFit="1" customWidth="1"/>
    <col min="8" max="8" width="17" bestFit="1" customWidth="1"/>
    <col min="9" max="9" width="15.83203125" bestFit="1" customWidth="1"/>
    <col min="10" max="10" width="7.6640625" bestFit="1" customWidth="1"/>
    <col min="11" max="11" width="17" bestFit="1" customWidth="1"/>
    <col min="12" max="12" width="15.5" bestFit="1" customWidth="1"/>
    <col min="13" max="13" width="19.1640625" bestFit="1" customWidth="1"/>
    <col min="14" max="14" width="8.83203125" bestFit="1" customWidth="1"/>
    <col min="15" max="15" width="11.33203125" bestFit="1" customWidth="1"/>
    <col min="17" max="17" width="8.1640625" bestFit="1" customWidth="1"/>
  </cols>
  <sheetData>
    <row r="1" spans="1:25" ht="16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</row>
    <row r="2" spans="1:25" ht="24">
      <c r="A2" s="97"/>
      <c r="B2" s="219" t="s">
        <v>120</v>
      </c>
      <c r="C2" s="220"/>
      <c r="D2" s="220"/>
      <c r="E2" s="220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7"/>
    </row>
    <row r="3" spans="1:25" ht="16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</row>
    <row r="4" spans="1:25" ht="15">
      <c r="A4" s="1"/>
      <c r="B4" s="209" t="s">
        <v>121</v>
      </c>
      <c r="C4" s="213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"/>
      <c r="S4" s="1"/>
      <c r="T4" s="1"/>
      <c r="U4" s="1"/>
      <c r="V4" s="1"/>
      <c r="W4" s="1"/>
      <c r="X4" s="1"/>
      <c r="Y4" s="1"/>
    </row>
    <row r="5" spans="1:25" ht="15">
      <c r="A5" s="1"/>
      <c r="B5" s="10" t="s">
        <v>122</v>
      </c>
      <c r="C5" s="1"/>
      <c r="D5" s="1"/>
      <c r="E5" s="1"/>
      <c r="F5" s="210"/>
      <c r="G5" s="206"/>
      <c r="H5" s="1"/>
      <c r="I5" s="1"/>
      <c r="J5" s="1"/>
      <c r="K5" s="10" t="s">
        <v>123</v>
      </c>
      <c r="L5" s="1"/>
      <c r="M5" s="1"/>
      <c r="N5" s="1"/>
      <c r="R5" s="1"/>
      <c r="T5" s="1"/>
      <c r="U5" s="1"/>
      <c r="V5" s="1"/>
      <c r="W5" s="1"/>
      <c r="X5" s="1"/>
      <c r="Y5" s="1"/>
    </row>
    <row r="6" spans="1:25" ht="15">
      <c r="A6" s="1"/>
      <c r="B6" s="205" t="s">
        <v>124</v>
      </c>
      <c r="C6" s="206"/>
      <c r="D6" s="221"/>
      <c r="E6" s="222"/>
      <c r="F6" s="222"/>
      <c r="G6" s="222"/>
      <c r="H6" s="222"/>
      <c r="I6" s="223"/>
      <c r="J6" s="1"/>
      <c r="K6" s="205" t="e">
        <f>#REF!</f>
        <v>#REF!</v>
      </c>
      <c r="L6" s="206"/>
      <c r="M6" s="206"/>
      <c r="N6" s="206"/>
      <c r="O6" s="206"/>
      <c r="P6" s="206"/>
      <c r="Q6" s="1"/>
      <c r="T6" s="1"/>
      <c r="U6" s="1"/>
      <c r="V6" s="1"/>
      <c r="W6" s="1"/>
      <c r="X6" s="1"/>
      <c r="Y6" s="1"/>
    </row>
    <row r="7" spans="1:25" ht="16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1"/>
      <c r="R7" s="97"/>
    </row>
    <row r="8" spans="1:25" ht="16">
      <c r="A8" s="97"/>
      <c r="B8" s="177"/>
      <c r="C8" s="177"/>
      <c r="D8" s="214" t="s">
        <v>4</v>
      </c>
      <c r="E8" s="215"/>
      <c r="F8" s="215"/>
      <c r="G8" s="215"/>
      <c r="H8" s="215"/>
      <c r="I8" s="215"/>
      <c r="J8" s="177"/>
      <c r="K8" s="214" t="s">
        <v>125</v>
      </c>
      <c r="L8" s="215"/>
      <c r="M8" s="215"/>
      <c r="N8" s="177"/>
      <c r="O8" s="214" t="s">
        <v>126</v>
      </c>
      <c r="P8" s="215"/>
      <c r="Q8" s="215"/>
      <c r="R8" s="97"/>
    </row>
    <row r="9" spans="1:25" ht="16">
      <c r="A9" s="97"/>
      <c r="B9" s="178" t="s">
        <v>127</v>
      </c>
      <c r="C9" s="178" t="s">
        <v>0</v>
      </c>
      <c r="D9" s="178" t="s">
        <v>79</v>
      </c>
      <c r="E9" s="178" t="s">
        <v>128</v>
      </c>
      <c r="F9" s="178" t="s">
        <v>129</v>
      </c>
      <c r="G9" s="178" t="s">
        <v>130</v>
      </c>
      <c r="H9" s="178" t="s">
        <v>131</v>
      </c>
      <c r="I9" s="178" t="s">
        <v>132</v>
      </c>
      <c r="J9" s="178"/>
      <c r="K9" s="178" t="s">
        <v>133</v>
      </c>
      <c r="L9" s="178" t="s">
        <v>134</v>
      </c>
      <c r="M9" s="178" t="s">
        <v>135</v>
      </c>
      <c r="N9" s="178"/>
      <c r="O9" s="178" t="s">
        <v>136</v>
      </c>
      <c r="P9" s="178" t="s">
        <v>137</v>
      </c>
      <c r="Q9" s="178" t="s">
        <v>9</v>
      </c>
      <c r="R9" s="97"/>
    </row>
    <row r="10" spans="1:25" ht="16">
      <c r="A10" s="97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7"/>
    </row>
    <row r="11" spans="1:25" ht="16">
      <c r="A11" s="97"/>
      <c r="B11" s="97">
        <v>0</v>
      </c>
      <c r="C11" s="101">
        <v>0</v>
      </c>
      <c r="D11" s="102"/>
      <c r="E11" s="103"/>
      <c r="F11" s="104">
        <f>D11*E11</f>
        <v>0</v>
      </c>
      <c r="G11" s="103"/>
      <c r="H11" s="103"/>
      <c r="I11" s="104">
        <f>F11+H11-G11</f>
        <v>0</v>
      </c>
      <c r="J11" s="103"/>
      <c r="K11" s="103"/>
      <c r="L11" s="103"/>
      <c r="M11" s="103"/>
      <c r="N11" s="105"/>
      <c r="O11" s="106" t="e">
        <f>I11/K11</f>
        <v>#DIV/0!</v>
      </c>
      <c r="P11" s="106" t="e">
        <f>I11/L11</f>
        <v>#DIV/0!</v>
      </c>
      <c r="Q11" s="107"/>
      <c r="R11" s="97"/>
    </row>
    <row r="12" spans="1:25" ht="16">
      <c r="A12" s="97"/>
      <c r="B12" s="100"/>
      <c r="C12" s="101"/>
      <c r="D12" s="108"/>
      <c r="E12" s="109"/>
      <c r="F12" s="110"/>
      <c r="G12" s="109"/>
      <c r="H12" s="109"/>
      <c r="I12" s="110"/>
      <c r="J12" s="109"/>
      <c r="K12" s="109"/>
      <c r="L12" s="109"/>
      <c r="M12" s="109"/>
      <c r="N12" s="111"/>
      <c r="O12" s="112"/>
      <c r="P12" s="112"/>
      <c r="Q12" s="113"/>
      <c r="R12" s="97"/>
    </row>
    <row r="13" spans="1:25" ht="16">
      <c r="A13" s="97"/>
      <c r="B13" s="97">
        <v>0</v>
      </c>
      <c r="C13" s="101">
        <v>0</v>
      </c>
      <c r="D13" s="114">
        <f t="shared" ref="D13:D22" si="0">D43</f>
        <v>0</v>
      </c>
      <c r="E13" s="115">
        <f t="shared" ref="E13:E22" si="1">IF(ISBLANK(V43),,V43/1000000)</f>
        <v>0</v>
      </c>
      <c r="F13" s="116">
        <f t="shared" ref="F13:F32" si="2">IF(OR(ISBLANK(D13),ISBLANK(E13)),,D13*E13)</f>
        <v>0</v>
      </c>
      <c r="G13" s="115">
        <f t="shared" ref="G13:H22" si="3">IF(ISBLANK(AD43),,AD43/1000000)</f>
        <v>0</v>
      </c>
      <c r="H13" s="117">
        <f t="shared" si="3"/>
        <v>0</v>
      </c>
      <c r="I13" s="118">
        <f t="shared" ref="I13:I32" si="4">IF(ISBLANK(B13),,F13+H13-G13)</f>
        <v>0</v>
      </c>
      <c r="J13" s="115"/>
      <c r="K13" s="115">
        <f t="shared" ref="K13:K22" si="5">IF(ISBLANK(B13),,AA43/1000000)</f>
        <v>0</v>
      </c>
      <c r="L13" s="115">
        <f t="shared" ref="L13:L22" si="6">IF(ISBLANK(B13),,AB43/1000000)</f>
        <v>0</v>
      </c>
      <c r="M13" s="115">
        <f t="shared" ref="M13:M22" si="7">IF(ISBLANK(B13),,AC43/1000000)</f>
        <v>0</v>
      </c>
      <c r="N13" s="97"/>
      <c r="O13" s="119" t="e">
        <f t="shared" ref="O13:O32" si="8">IF(ISBLANK(B13),,I13/K13)</f>
        <v>#DIV/0!</v>
      </c>
      <c r="P13" s="119" t="e">
        <f t="shared" ref="P13:P32" si="9">IF(ISBLANK(B13),,I13/L13)</f>
        <v>#DIV/0!</v>
      </c>
      <c r="Q13" s="119">
        <f t="shared" ref="Q13:Q22" si="10">IF(ISBLANK(B13),,T43)</f>
        <v>0</v>
      </c>
      <c r="R13" s="97"/>
    </row>
    <row r="14" spans="1:25" ht="16">
      <c r="A14" s="97"/>
      <c r="B14" s="97">
        <v>0</v>
      </c>
      <c r="C14" s="101">
        <v>0</v>
      </c>
      <c r="D14" s="114">
        <f t="shared" si="0"/>
        <v>0</v>
      </c>
      <c r="E14" s="115">
        <f t="shared" si="1"/>
        <v>0</v>
      </c>
      <c r="F14" s="116">
        <f t="shared" si="2"/>
        <v>0</v>
      </c>
      <c r="G14" s="115">
        <f t="shared" si="3"/>
        <v>0</v>
      </c>
      <c r="H14" s="117">
        <f t="shared" si="3"/>
        <v>0</v>
      </c>
      <c r="I14" s="118">
        <f t="shared" si="4"/>
        <v>0</v>
      </c>
      <c r="J14" s="115"/>
      <c r="K14" s="115">
        <f t="shared" si="5"/>
        <v>0</v>
      </c>
      <c r="L14" s="115">
        <f t="shared" si="6"/>
        <v>0</v>
      </c>
      <c r="M14" s="115">
        <f t="shared" si="7"/>
        <v>0</v>
      </c>
      <c r="N14" s="97"/>
      <c r="O14" s="119" t="e">
        <f t="shared" si="8"/>
        <v>#DIV/0!</v>
      </c>
      <c r="P14" s="119" t="e">
        <f t="shared" si="9"/>
        <v>#DIV/0!</v>
      </c>
      <c r="Q14" s="119">
        <f t="shared" si="10"/>
        <v>0</v>
      </c>
      <c r="R14" s="97"/>
    </row>
    <row r="15" spans="1:25" ht="16">
      <c r="A15" s="97"/>
      <c r="B15" s="97">
        <v>0</v>
      </c>
      <c r="C15" s="101">
        <v>0</v>
      </c>
      <c r="D15" s="114">
        <f t="shared" si="0"/>
        <v>0</v>
      </c>
      <c r="E15" s="115">
        <f t="shared" si="1"/>
        <v>0</v>
      </c>
      <c r="F15" s="116">
        <f t="shared" si="2"/>
        <v>0</v>
      </c>
      <c r="G15" s="115">
        <f t="shared" si="3"/>
        <v>0</v>
      </c>
      <c r="H15" s="117">
        <f t="shared" si="3"/>
        <v>0</v>
      </c>
      <c r="I15" s="118">
        <f t="shared" si="4"/>
        <v>0</v>
      </c>
      <c r="J15" s="115"/>
      <c r="K15" s="115">
        <f t="shared" si="5"/>
        <v>0</v>
      </c>
      <c r="L15" s="115">
        <f t="shared" si="6"/>
        <v>0</v>
      </c>
      <c r="M15" s="115">
        <f t="shared" si="7"/>
        <v>0</v>
      </c>
      <c r="N15" s="97"/>
      <c r="O15" s="119" t="e">
        <f t="shared" si="8"/>
        <v>#DIV/0!</v>
      </c>
      <c r="P15" s="119" t="e">
        <f t="shared" si="9"/>
        <v>#DIV/0!</v>
      </c>
      <c r="Q15" s="119">
        <f t="shared" si="10"/>
        <v>0</v>
      </c>
      <c r="R15" s="97"/>
    </row>
    <row r="16" spans="1:25" ht="16">
      <c r="A16" s="97"/>
      <c r="B16" s="97">
        <v>0</v>
      </c>
      <c r="C16" s="101">
        <v>0</v>
      </c>
      <c r="D16" s="114">
        <f t="shared" si="0"/>
        <v>0</v>
      </c>
      <c r="E16" s="115">
        <f t="shared" si="1"/>
        <v>0</v>
      </c>
      <c r="F16" s="116">
        <f t="shared" si="2"/>
        <v>0</v>
      </c>
      <c r="G16" s="115">
        <f t="shared" si="3"/>
        <v>0</v>
      </c>
      <c r="H16" s="117">
        <f t="shared" si="3"/>
        <v>0</v>
      </c>
      <c r="I16" s="118">
        <f t="shared" si="4"/>
        <v>0</v>
      </c>
      <c r="J16" s="115"/>
      <c r="K16" s="115">
        <f t="shared" si="5"/>
        <v>0</v>
      </c>
      <c r="L16" s="115">
        <f t="shared" si="6"/>
        <v>0</v>
      </c>
      <c r="M16" s="115">
        <f t="shared" si="7"/>
        <v>0</v>
      </c>
      <c r="N16" s="97"/>
      <c r="O16" s="119" t="e">
        <f t="shared" si="8"/>
        <v>#DIV/0!</v>
      </c>
      <c r="P16" s="119" t="e">
        <f t="shared" si="9"/>
        <v>#DIV/0!</v>
      </c>
      <c r="Q16" s="119">
        <f t="shared" si="10"/>
        <v>0</v>
      </c>
      <c r="R16" s="97"/>
    </row>
    <row r="17" spans="1:18" ht="16">
      <c r="A17" s="97"/>
      <c r="B17" s="97">
        <v>0</v>
      </c>
      <c r="C17" s="101">
        <v>0</v>
      </c>
      <c r="D17" s="114">
        <f t="shared" si="0"/>
        <v>0</v>
      </c>
      <c r="E17" s="115">
        <f t="shared" si="1"/>
        <v>0</v>
      </c>
      <c r="F17" s="116">
        <f t="shared" si="2"/>
        <v>0</v>
      </c>
      <c r="G17" s="115">
        <f t="shared" si="3"/>
        <v>0</v>
      </c>
      <c r="H17" s="117">
        <f t="shared" si="3"/>
        <v>0</v>
      </c>
      <c r="I17" s="118">
        <f t="shared" si="4"/>
        <v>0</v>
      </c>
      <c r="J17" s="115"/>
      <c r="K17" s="115">
        <f t="shared" si="5"/>
        <v>0</v>
      </c>
      <c r="L17" s="115">
        <f t="shared" si="6"/>
        <v>0</v>
      </c>
      <c r="M17" s="115">
        <f t="shared" si="7"/>
        <v>0</v>
      </c>
      <c r="N17" s="97"/>
      <c r="O17" s="119" t="e">
        <f t="shared" si="8"/>
        <v>#DIV/0!</v>
      </c>
      <c r="P17" s="119" t="e">
        <f t="shared" si="9"/>
        <v>#DIV/0!</v>
      </c>
      <c r="Q17" s="119">
        <f t="shared" si="10"/>
        <v>0</v>
      </c>
      <c r="R17" s="97"/>
    </row>
    <row r="18" spans="1:18" ht="16">
      <c r="A18" s="97"/>
      <c r="B18" s="97">
        <v>0</v>
      </c>
      <c r="C18" s="101">
        <v>0</v>
      </c>
      <c r="D18" s="114">
        <f t="shared" si="0"/>
        <v>0</v>
      </c>
      <c r="E18" s="115">
        <f t="shared" si="1"/>
        <v>0</v>
      </c>
      <c r="F18" s="116">
        <f t="shared" si="2"/>
        <v>0</v>
      </c>
      <c r="G18" s="115">
        <f t="shared" si="3"/>
        <v>0</v>
      </c>
      <c r="H18" s="117">
        <f t="shared" si="3"/>
        <v>0</v>
      </c>
      <c r="I18" s="118">
        <f t="shared" si="4"/>
        <v>0</v>
      </c>
      <c r="J18" s="115"/>
      <c r="K18" s="115">
        <f t="shared" si="5"/>
        <v>0</v>
      </c>
      <c r="L18" s="115">
        <f t="shared" si="6"/>
        <v>0</v>
      </c>
      <c r="M18" s="115">
        <f t="shared" si="7"/>
        <v>0</v>
      </c>
      <c r="N18" s="97"/>
      <c r="O18" s="119" t="e">
        <f t="shared" si="8"/>
        <v>#DIV/0!</v>
      </c>
      <c r="P18" s="119" t="e">
        <f t="shared" si="9"/>
        <v>#DIV/0!</v>
      </c>
      <c r="Q18" s="119">
        <f t="shared" si="10"/>
        <v>0</v>
      </c>
      <c r="R18" s="97"/>
    </row>
    <row r="19" spans="1:18" ht="16">
      <c r="A19" s="97"/>
      <c r="B19" s="97">
        <v>0</v>
      </c>
      <c r="C19" s="101">
        <v>0</v>
      </c>
      <c r="D19" s="114">
        <f t="shared" si="0"/>
        <v>0</v>
      </c>
      <c r="E19" s="115">
        <f t="shared" si="1"/>
        <v>0</v>
      </c>
      <c r="F19" s="116">
        <f t="shared" si="2"/>
        <v>0</v>
      </c>
      <c r="G19" s="115">
        <f t="shared" si="3"/>
        <v>0</v>
      </c>
      <c r="H19" s="117">
        <f t="shared" si="3"/>
        <v>0</v>
      </c>
      <c r="I19" s="118">
        <f t="shared" si="4"/>
        <v>0</v>
      </c>
      <c r="J19" s="115"/>
      <c r="K19" s="115">
        <f t="shared" si="5"/>
        <v>0</v>
      </c>
      <c r="L19" s="115">
        <f t="shared" si="6"/>
        <v>0</v>
      </c>
      <c r="M19" s="115">
        <f t="shared" si="7"/>
        <v>0</v>
      </c>
      <c r="N19" s="97"/>
      <c r="O19" s="119" t="e">
        <f t="shared" si="8"/>
        <v>#DIV/0!</v>
      </c>
      <c r="P19" s="119" t="e">
        <f t="shared" si="9"/>
        <v>#DIV/0!</v>
      </c>
      <c r="Q19" s="119">
        <f t="shared" si="10"/>
        <v>0</v>
      </c>
      <c r="R19" s="97"/>
    </row>
    <row r="20" spans="1:18" ht="16">
      <c r="A20" s="97"/>
      <c r="B20" s="97">
        <v>0</v>
      </c>
      <c r="C20" s="101">
        <v>0</v>
      </c>
      <c r="D20" s="114">
        <f t="shared" si="0"/>
        <v>0</v>
      </c>
      <c r="E20" s="115">
        <f t="shared" si="1"/>
        <v>0</v>
      </c>
      <c r="F20" s="116">
        <f t="shared" si="2"/>
        <v>0</v>
      </c>
      <c r="G20" s="115">
        <f t="shared" si="3"/>
        <v>0</v>
      </c>
      <c r="H20" s="117">
        <f t="shared" si="3"/>
        <v>0</v>
      </c>
      <c r="I20" s="118">
        <f t="shared" si="4"/>
        <v>0</v>
      </c>
      <c r="J20" s="115"/>
      <c r="K20" s="115">
        <f t="shared" si="5"/>
        <v>0</v>
      </c>
      <c r="L20" s="115">
        <f t="shared" si="6"/>
        <v>0</v>
      </c>
      <c r="M20" s="115">
        <f t="shared" si="7"/>
        <v>0</v>
      </c>
      <c r="N20" s="97"/>
      <c r="O20" s="119" t="e">
        <f t="shared" si="8"/>
        <v>#DIV/0!</v>
      </c>
      <c r="P20" s="119" t="e">
        <f t="shared" si="9"/>
        <v>#DIV/0!</v>
      </c>
      <c r="Q20" s="119">
        <f t="shared" si="10"/>
        <v>0</v>
      </c>
      <c r="R20" s="97"/>
    </row>
    <row r="21" spans="1:18" ht="16">
      <c r="A21" s="97"/>
      <c r="B21" s="97">
        <v>0</v>
      </c>
      <c r="C21" s="101">
        <v>0</v>
      </c>
      <c r="D21" s="114">
        <f t="shared" si="0"/>
        <v>0</v>
      </c>
      <c r="E21" s="115">
        <f t="shared" si="1"/>
        <v>0</v>
      </c>
      <c r="F21" s="116">
        <f t="shared" si="2"/>
        <v>0</v>
      </c>
      <c r="G21" s="115">
        <f t="shared" si="3"/>
        <v>0</v>
      </c>
      <c r="H21" s="117">
        <f t="shared" si="3"/>
        <v>0</v>
      </c>
      <c r="I21" s="118">
        <f t="shared" si="4"/>
        <v>0</v>
      </c>
      <c r="J21" s="115"/>
      <c r="K21" s="115">
        <f t="shared" si="5"/>
        <v>0</v>
      </c>
      <c r="L21" s="115">
        <f t="shared" si="6"/>
        <v>0</v>
      </c>
      <c r="M21" s="115">
        <f t="shared" si="7"/>
        <v>0</v>
      </c>
      <c r="N21" s="97"/>
      <c r="O21" s="119" t="e">
        <f t="shared" si="8"/>
        <v>#DIV/0!</v>
      </c>
      <c r="P21" s="119" t="e">
        <f t="shared" si="9"/>
        <v>#DIV/0!</v>
      </c>
      <c r="Q21" s="119">
        <f t="shared" si="10"/>
        <v>0</v>
      </c>
      <c r="R21" s="97"/>
    </row>
    <row r="22" spans="1:18" ht="16">
      <c r="A22" s="97"/>
      <c r="B22" s="97">
        <v>0</v>
      </c>
      <c r="C22" s="101">
        <f>B52</f>
        <v>0</v>
      </c>
      <c r="D22" s="114">
        <f t="shared" si="0"/>
        <v>0</v>
      </c>
      <c r="E22" s="115">
        <f t="shared" si="1"/>
        <v>0</v>
      </c>
      <c r="F22" s="116">
        <f t="shared" si="2"/>
        <v>0</v>
      </c>
      <c r="G22" s="115">
        <f t="shared" si="3"/>
        <v>0</v>
      </c>
      <c r="H22" s="117">
        <f t="shared" si="3"/>
        <v>0</v>
      </c>
      <c r="I22" s="118">
        <f t="shared" si="4"/>
        <v>0</v>
      </c>
      <c r="J22" s="115"/>
      <c r="K22" s="115">
        <f t="shared" si="5"/>
        <v>0</v>
      </c>
      <c r="L22" s="115">
        <f t="shared" si="6"/>
        <v>0</v>
      </c>
      <c r="M22" s="115">
        <f t="shared" si="7"/>
        <v>0</v>
      </c>
      <c r="N22" s="97"/>
      <c r="O22" s="119" t="e">
        <f t="shared" si="8"/>
        <v>#DIV/0!</v>
      </c>
      <c r="P22" s="119" t="e">
        <f t="shared" si="9"/>
        <v>#DIV/0!</v>
      </c>
      <c r="Q22" s="119">
        <f t="shared" si="10"/>
        <v>0</v>
      </c>
      <c r="R22" s="97"/>
    </row>
    <row r="23" spans="1:18" ht="16">
      <c r="A23" s="97"/>
      <c r="B23" s="97">
        <f>C53</f>
        <v>0</v>
      </c>
      <c r="C23" s="101">
        <f>B53</f>
        <v>0</v>
      </c>
      <c r="D23" s="114">
        <f>D53</f>
        <v>0</v>
      </c>
      <c r="E23" s="115">
        <f>IF(ISBLANK(V53),,V53/1000000)</f>
        <v>0</v>
      </c>
      <c r="F23" s="116">
        <f t="shared" si="2"/>
        <v>0</v>
      </c>
      <c r="G23" s="115">
        <f>IF(ISBLANK(AD53),,AD53/1000000)</f>
        <v>0</v>
      </c>
      <c r="H23" s="117">
        <f>IF(ISBLANK(AE53),,AE53/1000000)</f>
        <v>0</v>
      </c>
      <c r="I23" s="118">
        <f t="shared" si="4"/>
        <v>0</v>
      </c>
      <c r="J23" s="115"/>
      <c r="K23" s="115">
        <f>IF(ISBLANK(B23),,AA53/1000000)</f>
        <v>0</v>
      </c>
      <c r="L23" s="115">
        <f>IF(ISBLANK(B23),,AB53/1000000)</f>
        <v>0</v>
      </c>
      <c r="M23" s="115">
        <f>IF(ISBLANK(B23),,AC53/1000000)</f>
        <v>0</v>
      </c>
      <c r="N23" s="97"/>
      <c r="O23" s="119" t="e">
        <f t="shared" si="8"/>
        <v>#DIV/0!</v>
      </c>
      <c r="P23" s="119" t="e">
        <f t="shared" si="9"/>
        <v>#DIV/0!</v>
      </c>
      <c r="Q23" s="119">
        <f>IF(ISBLANK(B23),,T53)</f>
        <v>0</v>
      </c>
      <c r="R23" s="97"/>
    </row>
    <row r="24" spans="1:18" ht="16">
      <c r="A24" s="97"/>
      <c r="B24" s="97" t="e">
        <f>#REF!</f>
        <v>#REF!</v>
      </c>
      <c r="C24" s="101" t="e">
        <f>#REF!</f>
        <v>#REF!</v>
      </c>
      <c r="D24" s="114" t="e">
        <f>#REF!</f>
        <v>#REF!</v>
      </c>
      <c r="E24" s="115" t="e">
        <f>IF(ISBLANK(#REF!),,#REF!/1000000)</f>
        <v>#REF!</v>
      </c>
      <c r="F24" s="116" t="e">
        <f t="shared" si="2"/>
        <v>#REF!</v>
      </c>
      <c r="G24" s="115" t="e">
        <f>IF(ISBLANK(#REF!),,#REF!/1000000)</f>
        <v>#REF!</v>
      </c>
      <c r="H24" s="117" t="e">
        <f>IF(ISBLANK(#REF!),,#REF!/1000000)</f>
        <v>#REF!</v>
      </c>
      <c r="I24" s="118" t="e">
        <f t="shared" si="4"/>
        <v>#REF!</v>
      </c>
      <c r="J24" s="115"/>
      <c r="K24" s="115" t="e">
        <f>IF(ISBLANK(B24),,#REF!/1000000)</f>
        <v>#REF!</v>
      </c>
      <c r="L24" s="115" t="e">
        <f>IF(ISBLANK(B24),,#REF!/1000000)</f>
        <v>#REF!</v>
      </c>
      <c r="M24" s="115" t="e">
        <f>IF(ISBLANK(B24),,#REF!/1000000)</f>
        <v>#REF!</v>
      </c>
      <c r="N24" s="97"/>
      <c r="O24" s="119" t="e">
        <f t="shared" si="8"/>
        <v>#REF!</v>
      </c>
      <c r="P24" s="119" t="e">
        <f t="shared" si="9"/>
        <v>#REF!</v>
      </c>
      <c r="Q24" s="119" t="e">
        <f>IF(ISBLANK(B24),,#REF!)</f>
        <v>#REF!</v>
      </c>
      <c r="R24" s="97"/>
    </row>
    <row r="25" spans="1:18" ht="16">
      <c r="A25" s="97"/>
      <c r="B25" s="97" t="e">
        <f>#REF!</f>
        <v>#REF!</v>
      </c>
      <c r="C25" s="101" t="e">
        <f>#REF!</f>
        <v>#REF!</v>
      </c>
      <c r="D25" s="114" t="e">
        <f>#REF!</f>
        <v>#REF!</v>
      </c>
      <c r="E25" s="115" t="e">
        <f>IF(ISBLANK(#REF!),,#REF!/1000000)</f>
        <v>#REF!</v>
      </c>
      <c r="F25" s="116" t="e">
        <f t="shared" si="2"/>
        <v>#REF!</v>
      </c>
      <c r="G25" s="115" t="e">
        <f>IF(ISBLANK(#REF!),,#REF!/1000000)</f>
        <v>#REF!</v>
      </c>
      <c r="H25" s="117" t="e">
        <f>IF(ISBLANK(#REF!),,#REF!/1000000)</f>
        <v>#REF!</v>
      </c>
      <c r="I25" s="118" t="e">
        <f t="shared" si="4"/>
        <v>#REF!</v>
      </c>
      <c r="J25" s="115"/>
      <c r="K25" s="115" t="e">
        <f>IF(ISBLANK(B25),,#REF!/1000000)</f>
        <v>#REF!</v>
      </c>
      <c r="L25" s="115" t="e">
        <f>IF(ISBLANK(B25),,#REF!/1000000)</f>
        <v>#REF!</v>
      </c>
      <c r="M25" s="115" t="e">
        <f>IF(ISBLANK(B25),,#REF!/1000000)</f>
        <v>#REF!</v>
      </c>
      <c r="N25" s="97"/>
      <c r="O25" s="119" t="e">
        <f t="shared" si="8"/>
        <v>#REF!</v>
      </c>
      <c r="P25" s="119" t="e">
        <f t="shared" si="9"/>
        <v>#REF!</v>
      </c>
      <c r="Q25" s="119" t="e">
        <f>IF(ISBLANK(B25),,#REF!)</f>
        <v>#REF!</v>
      </c>
      <c r="R25" s="97"/>
    </row>
    <row r="26" spans="1:18" ht="16">
      <c r="A26" s="97"/>
      <c r="B26" s="97" t="e">
        <f>#REF!</f>
        <v>#REF!</v>
      </c>
      <c r="C26" s="101" t="e">
        <f>#REF!</f>
        <v>#REF!</v>
      </c>
      <c r="D26" s="114" t="e">
        <f>#REF!</f>
        <v>#REF!</v>
      </c>
      <c r="E26" s="115" t="e">
        <f>IF(ISBLANK(#REF!),,#REF!/1000000)</f>
        <v>#REF!</v>
      </c>
      <c r="F26" s="116" t="e">
        <f t="shared" si="2"/>
        <v>#REF!</v>
      </c>
      <c r="G26" s="115" t="e">
        <f>IF(ISBLANK(#REF!),,#REF!/1000000)</f>
        <v>#REF!</v>
      </c>
      <c r="H26" s="117" t="e">
        <f>IF(ISBLANK(#REF!),,#REF!/1000000)</f>
        <v>#REF!</v>
      </c>
      <c r="I26" s="118" t="e">
        <f t="shared" si="4"/>
        <v>#REF!</v>
      </c>
      <c r="J26" s="115"/>
      <c r="K26" s="115" t="e">
        <f>IF(ISBLANK(B26),,#REF!/1000000)</f>
        <v>#REF!</v>
      </c>
      <c r="L26" s="115" t="e">
        <f>IF(ISBLANK(B26),,#REF!/1000000)</f>
        <v>#REF!</v>
      </c>
      <c r="M26" s="115" t="e">
        <f>IF(ISBLANK(B26),,#REF!/1000000)</f>
        <v>#REF!</v>
      </c>
      <c r="N26" s="97"/>
      <c r="O26" s="119" t="e">
        <f t="shared" si="8"/>
        <v>#REF!</v>
      </c>
      <c r="P26" s="119" t="e">
        <f t="shared" si="9"/>
        <v>#REF!</v>
      </c>
      <c r="Q26" s="119" t="e">
        <f>IF(ISBLANK(B26),,#REF!)</f>
        <v>#REF!</v>
      </c>
      <c r="R26" s="97"/>
    </row>
    <row r="27" spans="1:18" ht="16">
      <c r="A27" s="97"/>
      <c r="B27" s="97" t="e">
        <f>#REF!</f>
        <v>#REF!</v>
      </c>
      <c r="C27" s="101" t="e">
        <f>#REF!</f>
        <v>#REF!</v>
      </c>
      <c r="D27" s="114" t="e">
        <f>#REF!</f>
        <v>#REF!</v>
      </c>
      <c r="E27" s="115" t="e">
        <f>IF(ISBLANK(#REF!),,#REF!/1000000)</f>
        <v>#REF!</v>
      </c>
      <c r="F27" s="116" t="e">
        <f t="shared" si="2"/>
        <v>#REF!</v>
      </c>
      <c r="G27" s="115" t="e">
        <f>IF(ISBLANK(#REF!),,#REF!/1000000)</f>
        <v>#REF!</v>
      </c>
      <c r="H27" s="117" t="e">
        <f>IF(ISBLANK(#REF!),,#REF!/1000000)</f>
        <v>#REF!</v>
      </c>
      <c r="I27" s="118" t="e">
        <f t="shared" si="4"/>
        <v>#REF!</v>
      </c>
      <c r="J27" s="115"/>
      <c r="K27" s="115" t="e">
        <f>IF(ISBLANK(B27),,#REF!/1000000)</f>
        <v>#REF!</v>
      </c>
      <c r="L27" s="115" t="e">
        <f>IF(ISBLANK(B27),,#REF!/1000000)</f>
        <v>#REF!</v>
      </c>
      <c r="M27" s="115" t="e">
        <f>IF(ISBLANK(B27),,#REF!/1000000)</f>
        <v>#REF!</v>
      </c>
      <c r="N27" s="97"/>
      <c r="O27" s="119" t="e">
        <f t="shared" si="8"/>
        <v>#REF!</v>
      </c>
      <c r="P27" s="119" t="e">
        <f t="shared" si="9"/>
        <v>#REF!</v>
      </c>
      <c r="Q27" s="119" t="e">
        <f>IF(ISBLANK(B27),,#REF!)</f>
        <v>#REF!</v>
      </c>
      <c r="R27" s="97"/>
    </row>
    <row r="28" spans="1:18" ht="16">
      <c r="A28" s="97"/>
      <c r="B28" s="97" t="e">
        <f>#REF!</f>
        <v>#REF!</v>
      </c>
      <c r="C28" s="101" t="e">
        <f>#REF!</f>
        <v>#REF!</v>
      </c>
      <c r="D28" s="114" t="e">
        <f>#REF!</f>
        <v>#REF!</v>
      </c>
      <c r="E28" s="115" t="e">
        <f>IF(ISBLANK(#REF!),,#REF!/1000000)</f>
        <v>#REF!</v>
      </c>
      <c r="F28" s="116" t="e">
        <f t="shared" si="2"/>
        <v>#REF!</v>
      </c>
      <c r="G28" s="115" t="e">
        <f>IF(ISBLANK(#REF!),,#REF!/1000000)</f>
        <v>#REF!</v>
      </c>
      <c r="H28" s="117" t="e">
        <f>IF(ISBLANK(#REF!),,#REF!/1000000)</f>
        <v>#REF!</v>
      </c>
      <c r="I28" s="118" t="e">
        <f t="shared" si="4"/>
        <v>#REF!</v>
      </c>
      <c r="J28" s="115"/>
      <c r="K28" s="115" t="e">
        <f>IF(ISBLANK(B28),,#REF!/1000000)</f>
        <v>#REF!</v>
      </c>
      <c r="L28" s="115" t="e">
        <f>IF(ISBLANK(B28),,#REF!/1000000)</f>
        <v>#REF!</v>
      </c>
      <c r="M28" s="115" t="e">
        <f>IF(ISBLANK(B28),,#REF!/1000000)</f>
        <v>#REF!</v>
      </c>
      <c r="N28" s="97"/>
      <c r="O28" s="119" t="e">
        <f t="shared" si="8"/>
        <v>#REF!</v>
      </c>
      <c r="P28" s="119" t="e">
        <f t="shared" si="9"/>
        <v>#REF!</v>
      </c>
      <c r="Q28" s="119" t="e">
        <f>IF(ISBLANK(B28),,#REF!)</f>
        <v>#REF!</v>
      </c>
      <c r="R28" s="97"/>
    </row>
    <row r="29" spans="1:18" ht="16">
      <c r="A29" s="97"/>
      <c r="B29" s="97" t="e">
        <f>#REF!</f>
        <v>#REF!</v>
      </c>
      <c r="C29" s="101" t="e">
        <f>#REF!</f>
        <v>#REF!</v>
      </c>
      <c r="D29" s="114" t="e">
        <f>#REF!</f>
        <v>#REF!</v>
      </c>
      <c r="E29" s="115" t="e">
        <f>IF(ISBLANK(#REF!),,#REF!/1000000)</f>
        <v>#REF!</v>
      </c>
      <c r="F29" s="116" t="e">
        <f t="shared" si="2"/>
        <v>#REF!</v>
      </c>
      <c r="G29" s="115" t="e">
        <f>IF(ISBLANK(#REF!),,#REF!/1000000)</f>
        <v>#REF!</v>
      </c>
      <c r="H29" s="117" t="e">
        <f>IF(ISBLANK(#REF!),,#REF!/1000000)</f>
        <v>#REF!</v>
      </c>
      <c r="I29" s="118" t="e">
        <f t="shared" si="4"/>
        <v>#REF!</v>
      </c>
      <c r="J29" s="115"/>
      <c r="K29" s="115" t="e">
        <f>IF(ISBLANK(B29),,#REF!/1000000)</f>
        <v>#REF!</v>
      </c>
      <c r="L29" s="115" t="e">
        <f>IF(ISBLANK(B29),,#REF!/1000000)</f>
        <v>#REF!</v>
      </c>
      <c r="M29" s="115" t="e">
        <f>IF(ISBLANK(B29),,#REF!/1000000)</f>
        <v>#REF!</v>
      </c>
      <c r="N29" s="97"/>
      <c r="O29" s="119" t="e">
        <f t="shared" si="8"/>
        <v>#REF!</v>
      </c>
      <c r="P29" s="119" t="e">
        <f t="shared" si="9"/>
        <v>#REF!</v>
      </c>
      <c r="Q29" s="119" t="e">
        <f>IF(ISBLANK(B29),,#REF!)</f>
        <v>#REF!</v>
      </c>
      <c r="R29" s="97"/>
    </row>
    <row r="30" spans="1:18" ht="16">
      <c r="A30" s="97"/>
      <c r="B30" s="97" t="e">
        <f>#REF!</f>
        <v>#REF!</v>
      </c>
      <c r="C30" s="101" t="e">
        <f>#REF!</f>
        <v>#REF!</v>
      </c>
      <c r="D30" s="114" t="e">
        <f>#REF!</f>
        <v>#REF!</v>
      </c>
      <c r="E30" s="115" t="e">
        <f>IF(ISBLANK(#REF!),,#REF!/1000000)</f>
        <v>#REF!</v>
      </c>
      <c r="F30" s="116" t="e">
        <f t="shared" si="2"/>
        <v>#REF!</v>
      </c>
      <c r="G30" s="115" t="e">
        <f>IF(ISBLANK(#REF!),,#REF!/1000000)</f>
        <v>#REF!</v>
      </c>
      <c r="H30" s="117" t="e">
        <f>IF(ISBLANK(#REF!),,#REF!/1000000)</f>
        <v>#REF!</v>
      </c>
      <c r="I30" s="118" t="e">
        <f t="shared" si="4"/>
        <v>#REF!</v>
      </c>
      <c r="J30" s="115"/>
      <c r="K30" s="115" t="e">
        <f>IF(ISBLANK(B30),,#REF!/1000000)</f>
        <v>#REF!</v>
      </c>
      <c r="L30" s="115" t="e">
        <f>IF(ISBLANK(B30),,#REF!/1000000)</f>
        <v>#REF!</v>
      </c>
      <c r="M30" s="115" t="e">
        <f>IF(ISBLANK(B30),,#REF!/1000000)</f>
        <v>#REF!</v>
      </c>
      <c r="N30" s="97"/>
      <c r="O30" s="119" t="e">
        <f t="shared" si="8"/>
        <v>#REF!</v>
      </c>
      <c r="P30" s="119" t="e">
        <f t="shared" si="9"/>
        <v>#REF!</v>
      </c>
      <c r="Q30" s="119" t="e">
        <f>IF(ISBLANK(B30),,#REF!)</f>
        <v>#REF!</v>
      </c>
      <c r="R30" s="97"/>
    </row>
    <row r="31" spans="1:18" ht="16">
      <c r="A31" s="97"/>
      <c r="B31" s="97" t="e">
        <f>#REF!</f>
        <v>#REF!</v>
      </c>
      <c r="C31" s="101" t="e">
        <f>#REF!</f>
        <v>#REF!</v>
      </c>
      <c r="D31" s="114" t="e">
        <f>#REF!</f>
        <v>#REF!</v>
      </c>
      <c r="E31" s="115" t="e">
        <f>IF(ISBLANK(#REF!),,#REF!/1000000)</f>
        <v>#REF!</v>
      </c>
      <c r="F31" s="116" t="e">
        <f t="shared" si="2"/>
        <v>#REF!</v>
      </c>
      <c r="G31" s="115" t="e">
        <f>IF(ISBLANK(#REF!),,#REF!/1000000)</f>
        <v>#REF!</v>
      </c>
      <c r="H31" s="117" t="e">
        <f>IF(ISBLANK(#REF!),,#REF!/1000000)</f>
        <v>#REF!</v>
      </c>
      <c r="I31" s="118" t="e">
        <f t="shared" si="4"/>
        <v>#REF!</v>
      </c>
      <c r="J31" s="115"/>
      <c r="K31" s="115" t="e">
        <f>IF(ISBLANK(B31),,#REF!/1000000)</f>
        <v>#REF!</v>
      </c>
      <c r="L31" s="115" t="e">
        <f>IF(ISBLANK(B31),,#REF!/1000000)</f>
        <v>#REF!</v>
      </c>
      <c r="M31" s="115" t="e">
        <f>IF(ISBLANK(B31),,#REF!/1000000)</f>
        <v>#REF!</v>
      </c>
      <c r="N31" s="97"/>
      <c r="O31" s="119" t="e">
        <f t="shared" si="8"/>
        <v>#REF!</v>
      </c>
      <c r="P31" s="119" t="e">
        <f t="shared" si="9"/>
        <v>#REF!</v>
      </c>
      <c r="Q31" s="119" t="e">
        <f>IF(ISBLANK(B31),,#REF!)</f>
        <v>#REF!</v>
      </c>
      <c r="R31" s="97"/>
    </row>
    <row r="32" spans="1:18" ht="16">
      <c r="A32" s="97"/>
      <c r="B32" s="97" t="e">
        <f>#REF!</f>
        <v>#REF!</v>
      </c>
      <c r="C32" s="101" t="e">
        <f>#REF!</f>
        <v>#REF!</v>
      </c>
      <c r="D32" s="114" t="e">
        <f>#REF!</f>
        <v>#REF!</v>
      </c>
      <c r="E32" s="115" t="e">
        <f>IF(ISBLANK(#REF!),,#REF!/1000000)</f>
        <v>#REF!</v>
      </c>
      <c r="F32" s="116" t="e">
        <f t="shared" si="2"/>
        <v>#REF!</v>
      </c>
      <c r="G32" s="115" t="e">
        <f>IF(ISBLANK(#REF!),,#REF!/1000000)</f>
        <v>#REF!</v>
      </c>
      <c r="H32" s="117" t="e">
        <f>IF(ISBLANK(#REF!),,#REF!/1000000)</f>
        <v>#REF!</v>
      </c>
      <c r="I32" s="118" t="e">
        <f t="shared" si="4"/>
        <v>#REF!</v>
      </c>
      <c r="J32" s="115"/>
      <c r="K32" s="115" t="e">
        <f>IF(ISBLANK(B32),,#REF!/1000000)</f>
        <v>#REF!</v>
      </c>
      <c r="L32" s="115" t="e">
        <f>IF(ISBLANK(B32),,#REF!/1000000)</f>
        <v>#REF!</v>
      </c>
      <c r="M32" s="115" t="e">
        <f>IF(ISBLANK(B32),,#REF!/1000000)</f>
        <v>#REF!</v>
      </c>
      <c r="N32" s="97"/>
      <c r="O32" s="119" t="e">
        <f t="shared" si="8"/>
        <v>#REF!</v>
      </c>
      <c r="P32" s="119" t="e">
        <f t="shared" si="9"/>
        <v>#REF!</v>
      </c>
      <c r="Q32" s="119" t="e">
        <f>IF(ISBLANK(B32),,#REF!)</f>
        <v>#REF!</v>
      </c>
      <c r="R32" s="97"/>
    </row>
    <row r="33" spans="1:18" ht="16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</row>
    <row r="34" spans="1:18" ht="16">
      <c r="A34" s="97"/>
      <c r="B34" s="120" t="s">
        <v>138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 t="e">
        <f t="shared" ref="O34:Q34" si="11">MAX(O13:O32)</f>
        <v>#DIV/0!</v>
      </c>
      <c r="P34" s="120" t="e">
        <f t="shared" si="11"/>
        <v>#DIV/0!</v>
      </c>
      <c r="Q34" s="121" t="e">
        <f t="shared" si="11"/>
        <v>#REF!</v>
      </c>
      <c r="R34" s="97"/>
    </row>
    <row r="35" spans="1:18" ht="16">
      <c r="A35" s="97"/>
      <c r="B35" s="120" t="s">
        <v>139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1" t="e">
        <f>PERCENTILE(O13:O32,3)</f>
        <v>#DIV/0!</v>
      </c>
      <c r="P35" s="121" t="e">
        <f>PERCENTILE(P13:P32,3)</f>
        <v>#DIV/0!</v>
      </c>
      <c r="Q35" s="121" t="e">
        <f>PERCENTILE(Q13:Q32,3)</f>
        <v>#REF!</v>
      </c>
      <c r="R35" s="97"/>
    </row>
    <row r="36" spans="1:18" ht="16">
      <c r="A36" s="97"/>
      <c r="B36" s="122" t="s">
        <v>94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 t="e">
        <f t="shared" ref="O36:Q36" si="12">AVERAGE(O13:O32)</f>
        <v>#DIV/0!</v>
      </c>
      <c r="P36" s="122" t="e">
        <f t="shared" si="12"/>
        <v>#DIV/0!</v>
      </c>
      <c r="Q36" s="123" t="e">
        <f t="shared" si="12"/>
        <v>#REF!</v>
      </c>
      <c r="R36" s="97"/>
    </row>
    <row r="37" spans="1:18" ht="16">
      <c r="A37" s="97"/>
      <c r="B37" s="122" t="s">
        <v>140</v>
      </c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 t="e">
        <f t="shared" ref="O37:Q37" si="13">MEDIAN(O13:O32)</f>
        <v>#DIV/0!</v>
      </c>
      <c r="P37" s="122" t="e">
        <f t="shared" si="13"/>
        <v>#DIV/0!</v>
      </c>
      <c r="Q37" s="123" t="e">
        <f t="shared" si="13"/>
        <v>#REF!</v>
      </c>
      <c r="R37" s="97"/>
    </row>
    <row r="38" spans="1:18" ht="16">
      <c r="A38" s="97"/>
      <c r="B38" s="120" t="s">
        <v>141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1" t="e">
        <f>PERCENTILE(O13:O32,1)</f>
        <v>#DIV/0!</v>
      </c>
      <c r="P38" s="121" t="e">
        <f>PERCENTILE(P13:P32,1)</f>
        <v>#DIV/0!</v>
      </c>
      <c r="Q38" s="121" t="e">
        <f>PERCENTILE(Q13:Q32,1)</f>
        <v>#REF!</v>
      </c>
      <c r="R38" s="97"/>
    </row>
    <row r="39" spans="1:18" ht="16">
      <c r="A39" s="97"/>
      <c r="B39" s="120" t="s">
        <v>142</v>
      </c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 t="e">
        <f t="shared" ref="O39:Q39" si="14">MIN(O13:O32)</f>
        <v>#DIV/0!</v>
      </c>
      <c r="P39" s="120" t="e">
        <f t="shared" si="14"/>
        <v>#DIV/0!</v>
      </c>
      <c r="Q39" s="121" t="e">
        <f t="shared" si="14"/>
        <v>#REF!</v>
      </c>
      <c r="R39" s="97"/>
    </row>
    <row r="40" spans="1:18" ht="16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</row>
    <row r="41" spans="1:18" ht="16">
      <c r="A41" s="97"/>
      <c r="B41" s="224" t="str">
        <f>(B11&amp;" Valuation")</f>
        <v>0 Valuation</v>
      </c>
      <c r="C41" s="213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8" t="s">
        <v>136</v>
      </c>
      <c r="P41" s="178" t="s">
        <v>137</v>
      </c>
      <c r="Q41" s="178" t="s">
        <v>9</v>
      </c>
      <c r="R41" s="97"/>
    </row>
    <row r="42" spans="1:18" ht="16">
      <c r="A42" s="97"/>
      <c r="B42" s="216" t="s">
        <v>143</v>
      </c>
      <c r="C42" s="206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124" t="e">
        <f t="shared" ref="O42:P42" si="15">O37*K11</f>
        <v>#DIV/0!</v>
      </c>
      <c r="P42" s="124" t="e">
        <f t="shared" si="15"/>
        <v>#DIV/0!</v>
      </c>
      <c r="Q42" s="124" t="e">
        <f>Q43+Q44</f>
        <v>#REF!</v>
      </c>
      <c r="R42" s="97"/>
    </row>
    <row r="43" spans="1:18" ht="16">
      <c r="A43" s="97"/>
      <c r="B43" s="97" t="s">
        <v>144</v>
      </c>
      <c r="C43" s="97"/>
      <c r="D43" s="97"/>
      <c r="E43" s="97"/>
      <c r="F43" s="97"/>
      <c r="G43" s="125"/>
      <c r="H43" s="97"/>
      <c r="I43" s="97"/>
      <c r="J43" s="97"/>
      <c r="K43" s="97"/>
      <c r="L43" s="97"/>
      <c r="M43" s="97"/>
      <c r="N43" s="97"/>
      <c r="O43" s="124">
        <f t="shared" ref="O43:Q43" si="16">$H$11</f>
        <v>0</v>
      </c>
      <c r="P43" s="124">
        <f t="shared" si="16"/>
        <v>0</v>
      </c>
      <c r="Q43" s="124">
        <f t="shared" si="16"/>
        <v>0</v>
      </c>
      <c r="R43" s="97"/>
    </row>
    <row r="44" spans="1:18" ht="16">
      <c r="A44" s="97"/>
      <c r="B44" s="216" t="s">
        <v>145</v>
      </c>
      <c r="C44" s="206"/>
      <c r="D44" s="97"/>
      <c r="E44" s="97"/>
      <c r="F44" s="97"/>
      <c r="G44" s="125"/>
      <c r="H44" s="97"/>
      <c r="I44" s="97"/>
      <c r="J44" s="97"/>
      <c r="K44" s="97"/>
      <c r="L44" s="97"/>
      <c r="M44" s="97"/>
      <c r="N44" s="97"/>
      <c r="O44" s="124" t="e">
        <f t="shared" ref="O44:P44" si="17">O42-O43</f>
        <v>#DIV/0!</v>
      </c>
      <c r="P44" s="124" t="e">
        <f t="shared" si="17"/>
        <v>#DIV/0!</v>
      </c>
      <c r="Q44" s="124" t="e">
        <f>Q37*M11</f>
        <v>#REF!</v>
      </c>
      <c r="R44" s="97"/>
    </row>
    <row r="45" spans="1:18" ht="16">
      <c r="A45" s="97"/>
      <c r="B45" s="216" t="s">
        <v>146</v>
      </c>
      <c r="C45" s="206"/>
      <c r="D45" s="97"/>
      <c r="E45" s="97"/>
      <c r="F45" s="97"/>
      <c r="G45" s="125"/>
      <c r="H45" s="97"/>
      <c r="I45" s="97"/>
      <c r="J45" s="97"/>
      <c r="K45" s="97"/>
      <c r="L45" s="97"/>
      <c r="M45" s="97"/>
      <c r="N45" s="97"/>
      <c r="O45" s="124">
        <f t="shared" ref="O45:Q45" si="18">$E$11</f>
        <v>0</v>
      </c>
      <c r="P45" s="124">
        <f t="shared" si="18"/>
        <v>0</v>
      </c>
      <c r="Q45" s="124">
        <f t="shared" si="18"/>
        <v>0</v>
      </c>
      <c r="R45" s="97"/>
    </row>
    <row r="46" spans="1:18" ht="16">
      <c r="A46" s="97"/>
      <c r="B46" s="217" t="s">
        <v>147</v>
      </c>
      <c r="C46" s="218"/>
      <c r="D46" s="126"/>
      <c r="E46" s="126"/>
      <c r="F46" s="126"/>
      <c r="G46" s="127"/>
      <c r="H46" s="126"/>
      <c r="I46" s="126"/>
      <c r="J46" s="126"/>
      <c r="K46" s="126"/>
      <c r="L46" s="126"/>
      <c r="M46" s="126"/>
      <c r="N46" s="126"/>
      <c r="O46" s="128" t="e">
        <f t="shared" ref="O46:Q46" si="19">O44/O45</f>
        <v>#DIV/0!</v>
      </c>
      <c r="P46" s="128" t="e">
        <f t="shared" si="19"/>
        <v>#DIV/0!</v>
      </c>
      <c r="Q46" s="128" t="e">
        <f t="shared" si="19"/>
        <v>#REF!</v>
      </c>
      <c r="R46" s="97"/>
    </row>
    <row r="47" spans="1:18" ht="16">
      <c r="A47" s="97"/>
      <c r="B47" s="97"/>
      <c r="C47" s="97"/>
      <c r="D47" s="97"/>
      <c r="E47" s="97"/>
      <c r="F47" s="97"/>
      <c r="G47" s="125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</row>
    <row r="48" spans="1:18" ht="16">
      <c r="A48" s="97"/>
      <c r="B48" s="97"/>
      <c r="C48" s="97"/>
      <c r="D48" s="97"/>
      <c r="E48" s="97"/>
      <c r="F48" s="97"/>
      <c r="G48" s="125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</row>
    <row r="49" spans="1:27" ht="16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</row>
    <row r="50" spans="1:27" ht="16">
      <c r="A50" s="97"/>
      <c r="B50" s="97" t="s">
        <v>148</v>
      </c>
      <c r="C50" s="129" t="s">
        <v>149</v>
      </c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</row>
    <row r="51" spans="1:27" ht="16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</row>
    <row r="53" spans="1:27" ht="13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</row>
  </sheetData>
  <mergeCells count="14">
    <mergeCell ref="K6:P6"/>
    <mergeCell ref="D8:I8"/>
    <mergeCell ref="B45:C45"/>
    <mergeCell ref="B46:C46"/>
    <mergeCell ref="B2:E2"/>
    <mergeCell ref="B4:C4"/>
    <mergeCell ref="F5:G5"/>
    <mergeCell ref="B6:C6"/>
    <mergeCell ref="D6:I6"/>
    <mergeCell ref="K8:M8"/>
    <mergeCell ref="O8:Q8"/>
    <mergeCell ref="B41:C41"/>
    <mergeCell ref="B42:C42"/>
    <mergeCell ref="B44:C44"/>
  </mergeCells>
  <hyperlinks>
    <hyperlink ref="C50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Z40"/>
  <sheetViews>
    <sheetView showGridLines="0" workbookViewId="0">
      <selection activeCell="W22" sqref="W22"/>
    </sheetView>
  </sheetViews>
  <sheetFormatPr baseColWidth="10" defaultColWidth="12.6640625" defaultRowHeight="15.75" customHeight="1"/>
  <cols>
    <col min="1" max="1" width="1.83203125" customWidth="1"/>
    <col min="9" max="9" width="15" customWidth="1"/>
    <col min="10" max="10" width="19.33203125" customWidth="1"/>
  </cols>
  <sheetData>
    <row r="1" spans="2:23" ht="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 ht="15.75" customHeight="1">
      <c r="B2" s="211" t="e">
        <f>CONCATENATE(#REF!," EBITDA Multiple")</f>
        <v>#REF!</v>
      </c>
      <c r="C2" s="212"/>
      <c r="D2" s="21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23" ht="15"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ht="15">
      <c r="B4" s="1" t="s">
        <v>0</v>
      </c>
      <c r="C4" s="2">
        <f>INFO!C3</f>
        <v>0</v>
      </c>
      <c r="D4" s="1"/>
      <c r="E4" s="205" t="s">
        <v>33</v>
      </c>
      <c r="F4" s="206"/>
      <c r="G4" s="11">
        <f>Z84</f>
        <v>0</v>
      </c>
      <c r="H4" s="1"/>
      <c r="I4" s="1"/>
      <c r="J4" s="1"/>
      <c r="K4" s="12" t="s">
        <v>34</v>
      </c>
      <c r="L4" s="12" t="s"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">
      <c r="B5" s="1" t="s">
        <v>36</v>
      </c>
      <c r="C5" s="13">
        <f ca="1">TODAY()</f>
        <v>45331</v>
      </c>
      <c r="D5" s="1"/>
      <c r="E5" s="205" t="s">
        <v>37</v>
      </c>
      <c r="F5" s="206"/>
      <c r="G5" s="14" t="e">
        <f>#REF!</f>
        <v>#REF!</v>
      </c>
      <c r="H5" s="1"/>
      <c r="I5" s="205" t="s">
        <v>38</v>
      </c>
      <c r="J5" s="206"/>
      <c r="K5" s="15" t="e">
        <f>U84/G5-1</f>
        <v>#REF!</v>
      </c>
      <c r="L5" s="15" t="e">
        <f>G4/G5-1</f>
        <v>#REF!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ht="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ht="15">
      <c r="B7" s="209" t="s">
        <v>39</v>
      </c>
      <c r="C7" s="206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1"/>
      <c r="S7" s="1"/>
      <c r="T7" s="1"/>
      <c r="U7" s="1"/>
      <c r="V7" s="1"/>
      <c r="W7" s="1"/>
    </row>
    <row r="8" spans="2:23" ht="15">
      <c r="B8" s="10" t="s">
        <v>40</v>
      </c>
      <c r="C8" s="1"/>
      <c r="D8" s="1"/>
      <c r="E8" s="1"/>
      <c r="F8" s="210" t="s">
        <v>41</v>
      </c>
      <c r="G8" s="206"/>
      <c r="H8" s="1"/>
      <c r="I8" s="1"/>
      <c r="J8" s="10" t="s">
        <v>42</v>
      </c>
      <c r="K8" s="1"/>
      <c r="L8" s="1"/>
      <c r="M8" s="1"/>
      <c r="N8" s="210" t="s">
        <v>43</v>
      </c>
      <c r="O8" s="206"/>
      <c r="P8" s="10"/>
      <c r="Q8" s="1"/>
      <c r="R8" s="1"/>
      <c r="S8" s="1"/>
      <c r="T8" s="1"/>
      <c r="U8" s="1"/>
      <c r="V8" s="1"/>
      <c r="W8" s="1"/>
    </row>
    <row r="9" spans="2:23" ht="15">
      <c r="B9" s="205" t="s">
        <v>44</v>
      </c>
      <c r="C9" s="206"/>
      <c r="D9" s="2">
        <v>2</v>
      </c>
      <c r="E9" s="1"/>
      <c r="F9" s="205" t="e">
        <f>CONCATENATE("Revenue ", Q39)</f>
        <v>#REF!</v>
      </c>
      <c r="G9" s="206"/>
      <c r="H9" s="2">
        <f>Q43-1%</f>
        <v>-0.01</v>
      </c>
      <c r="I9" s="1"/>
      <c r="J9" s="1"/>
      <c r="K9" s="1"/>
      <c r="L9" s="1"/>
      <c r="M9" s="1"/>
      <c r="N9" s="205" t="e">
        <f>CONCATENATE("Revenue ", Q39)</f>
        <v>#REF!</v>
      </c>
      <c r="O9" s="206"/>
      <c r="P9" s="2">
        <f>Q43+1%</f>
        <v>0.01</v>
      </c>
      <c r="R9" s="1"/>
      <c r="S9" s="1"/>
      <c r="T9" s="1"/>
      <c r="U9" s="1"/>
      <c r="V9" s="1"/>
      <c r="W9" s="1"/>
    </row>
    <row r="10" spans="2:23" ht="15">
      <c r="B10" s="205" t="s">
        <v>151</v>
      </c>
      <c r="C10" s="206"/>
      <c r="D10" s="16">
        <v>2</v>
      </c>
      <c r="E10" s="1"/>
      <c r="F10" s="205" t="e">
        <f>CONCATENATE("Revenue ", Z39)</f>
        <v>#REF!</v>
      </c>
      <c r="G10" s="206"/>
      <c r="H10" s="17">
        <v>0.03</v>
      </c>
      <c r="I10" s="1"/>
      <c r="J10" s="205" t="e">
        <f>CONCATENATE("Revenue ", Z39)</f>
        <v>#REF!</v>
      </c>
      <c r="K10" s="206"/>
      <c r="L10" s="18">
        <v>0.05</v>
      </c>
      <c r="M10" s="1"/>
      <c r="N10" s="205" t="e">
        <f>CONCATENATE("Revenue ", Z39)</f>
        <v>#REF!</v>
      </c>
      <c r="O10" s="206"/>
      <c r="P10" s="17">
        <v>7.0000000000000007E-2</v>
      </c>
      <c r="R10" s="1"/>
      <c r="S10" s="1"/>
      <c r="T10" s="1"/>
      <c r="U10" s="1"/>
      <c r="V10" s="1"/>
      <c r="W10" s="1"/>
    </row>
    <row r="11" spans="2:23" ht="15">
      <c r="B11" s="1" t="s">
        <v>46</v>
      </c>
      <c r="C11" s="1"/>
      <c r="D11" s="16">
        <v>1</v>
      </c>
      <c r="E11" s="1"/>
      <c r="F11" s="1" t="e">
        <f>CONCATENATE("EBIT ", Q39)</f>
        <v>#REF!</v>
      </c>
      <c r="G11" s="1"/>
      <c r="H11" s="16">
        <f>Q49-1%</f>
        <v>-0.01</v>
      </c>
      <c r="I11" s="1"/>
      <c r="J11" s="1" t="s">
        <v>47</v>
      </c>
      <c r="K11" s="1"/>
      <c r="L11" s="1" t="e">
        <f>AVERAGE(G23:O23)</f>
        <v>#REF!</v>
      </c>
      <c r="M11" s="1"/>
      <c r="N11" s="1" t="e">
        <f>CONCATENATE("EBIT ", Q39)</f>
        <v>#REF!</v>
      </c>
      <c r="O11" s="1"/>
      <c r="P11" s="16">
        <f>Q49+1%</f>
        <v>0.01</v>
      </c>
      <c r="R11" s="1"/>
      <c r="S11" s="1"/>
      <c r="T11" s="1"/>
      <c r="U11" s="1"/>
      <c r="V11" s="1"/>
      <c r="W11" s="1"/>
    </row>
    <row r="12" spans="2:23" ht="15">
      <c r="B12" s="1" t="s">
        <v>48</v>
      </c>
      <c r="C12" s="1"/>
      <c r="D12" s="16">
        <v>2</v>
      </c>
      <c r="E12" s="1"/>
      <c r="F12" s="1" t="s">
        <v>46</v>
      </c>
      <c r="G12" s="1"/>
      <c r="H12" s="17">
        <v>0.25</v>
      </c>
      <c r="I12" s="1"/>
      <c r="J12" s="1"/>
      <c r="K12" s="1"/>
      <c r="L12" s="1"/>
      <c r="M12" s="1"/>
      <c r="N12" s="1" t="s">
        <v>46</v>
      </c>
      <c r="O12" s="1"/>
      <c r="P12" s="17">
        <v>0.17</v>
      </c>
      <c r="R12" s="1"/>
      <c r="S12" s="1"/>
      <c r="T12" s="1"/>
      <c r="U12" s="1"/>
      <c r="V12" s="1"/>
      <c r="W12" s="1"/>
    </row>
    <row r="13" spans="2:23" ht="15">
      <c r="B13" s="1" t="s">
        <v>49</v>
      </c>
      <c r="C13" s="1"/>
      <c r="D13" s="16">
        <v>2</v>
      </c>
      <c r="E13" s="1"/>
      <c r="F13" s="1" t="s">
        <v>48</v>
      </c>
      <c r="G13" s="1"/>
      <c r="H13" s="17">
        <v>5.0999999999999997E-2</v>
      </c>
      <c r="I13" s="1"/>
      <c r="J13" s="1"/>
      <c r="K13" s="1"/>
      <c r="L13" s="1"/>
      <c r="M13" s="1"/>
      <c r="N13" s="1" t="s">
        <v>48</v>
      </c>
      <c r="O13" s="1"/>
      <c r="P13" s="17">
        <v>6.0999999999999999E-2</v>
      </c>
      <c r="R13" s="1"/>
      <c r="S13" s="1"/>
      <c r="T13" s="1"/>
      <c r="U13" s="1"/>
      <c r="V13" s="1"/>
      <c r="W13" s="1"/>
    </row>
    <row r="14" spans="2:23" ht="15">
      <c r="B14" s="1" t="s">
        <v>50</v>
      </c>
      <c r="C14" s="1"/>
      <c r="D14" s="16">
        <v>2</v>
      </c>
      <c r="E14" s="1"/>
      <c r="F14" s="1" t="e">
        <f>CONCATENATE("CapEx ", Z39)</f>
        <v>#REF!</v>
      </c>
      <c r="G14" s="1"/>
      <c r="H14" s="17">
        <v>0.09</v>
      </c>
      <c r="I14" s="1"/>
      <c r="J14" s="205" t="e">
        <f>CONCATENATE("CapEx ", Z39)</f>
        <v>#REF!</v>
      </c>
      <c r="K14" s="206"/>
      <c r="L14" s="18">
        <v>7.0000000000000007E-2</v>
      </c>
      <c r="M14" s="1"/>
      <c r="N14" s="205" t="e">
        <f>CONCATENATE("CapEx ", Z39)</f>
        <v>#REF!</v>
      </c>
      <c r="O14" s="206"/>
      <c r="P14" s="17">
        <v>0.05</v>
      </c>
      <c r="R14" s="1"/>
      <c r="S14" s="1"/>
      <c r="T14" s="1"/>
      <c r="U14" s="1"/>
      <c r="V14" s="1"/>
      <c r="W14" s="1"/>
    </row>
    <row r="15" spans="2:23" ht="15">
      <c r="B15" s="1" t="s">
        <v>51</v>
      </c>
      <c r="C15" s="1"/>
      <c r="D15" s="16">
        <v>3</v>
      </c>
      <c r="E15" s="1"/>
      <c r="F15" s="1" t="s">
        <v>50</v>
      </c>
      <c r="G15" s="1"/>
      <c r="H15" s="17">
        <v>0.09</v>
      </c>
      <c r="I15" s="1"/>
      <c r="J15" s="1" t="s">
        <v>50</v>
      </c>
      <c r="K15" s="1"/>
      <c r="L15" s="17" t="e">
        <f>WACC!D22</f>
        <v>#DIV/0!</v>
      </c>
      <c r="M15" s="1"/>
      <c r="N15" s="1" t="s">
        <v>50</v>
      </c>
      <c r="O15" s="1"/>
      <c r="P15" s="17">
        <v>7.0000000000000007E-2</v>
      </c>
      <c r="R15" s="1"/>
      <c r="S15" s="1"/>
      <c r="T15" s="1"/>
      <c r="U15" s="1"/>
      <c r="V15" s="1"/>
      <c r="W15" s="1"/>
    </row>
    <row r="16" spans="2:23" ht="15">
      <c r="B16" s="1"/>
      <c r="C16" s="1"/>
      <c r="D16" s="1"/>
      <c r="E16" s="1"/>
      <c r="F16" s="1" t="s">
        <v>51</v>
      </c>
      <c r="G16" s="1"/>
      <c r="H16" s="17">
        <v>2.5000000000000001E-2</v>
      </c>
      <c r="I16" s="1"/>
      <c r="J16" s="1" t="s">
        <v>51</v>
      </c>
      <c r="K16" s="1"/>
      <c r="L16" s="17">
        <v>0.03</v>
      </c>
      <c r="M16" s="1"/>
      <c r="N16" s="1" t="s">
        <v>51</v>
      </c>
      <c r="O16" s="1"/>
      <c r="P16" s="17">
        <v>3.5000000000000003E-2</v>
      </c>
      <c r="R16" s="1"/>
      <c r="S16" s="1"/>
      <c r="T16" s="1"/>
      <c r="U16" s="1"/>
      <c r="V16" s="1"/>
      <c r="W16" s="1"/>
    </row>
    <row r="17" spans="1:26" ht="15">
      <c r="B17" s="210" t="s">
        <v>52</v>
      </c>
      <c r="C17" s="20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6" ht="15">
      <c r="B18" s="1" t="s">
        <v>50</v>
      </c>
      <c r="C18" s="1"/>
      <c r="D18" s="18" t="e">
        <f t="shared" ref="D18:D19" si="0">CHOOSE(D14,H15,L15,P15)</f>
        <v>#DIV/0!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6" ht="15">
      <c r="B19" s="1" t="s">
        <v>51</v>
      </c>
      <c r="C19" s="1"/>
      <c r="D19" s="18">
        <f t="shared" si="0"/>
        <v>3.5000000000000003E-2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6" ht="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6" ht="15">
      <c r="A21" s="3" t="s">
        <v>32</v>
      </c>
      <c r="B21" s="209" t="s">
        <v>53</v>
      </c>
      <c r="C21" s="206"/>
      <c r="D21" s="12"/>
      <c r="E21" s="12"/>
      <c r="F21" s="19" t="e">
        <f>#REF!</f>
        <v>#REF!</v>
      </c>
      <c r="G21" s="19" t="e">
        <f>#REF!</f>
        <v>#REF!</v>
      </c>
      <c r="H21" s="19" t="e">
        <f>#REF!</f>
        <v>#REF!</v>
      </c>
      <c r="I21" s="19" t="e">
        <f>#REF!</f>
        <v>#REF!</v>
      </c>
      <c r="J21" s="19" t="e">
        <f>#REF!</f>
        <v>#REF!</v>
      </c>
      <c r="K21" s="19" t="e">
        <f>#REF!</f>
        <v>#REF!</v>
      </c>
      <c r="L21" s="19" t="e">
        <f>#REF!</f>
        <v>#REF!</v>
      </c>
      <c r="M21" s="19" t="e">
        <f>#REF!</f>
        <v>#REF!</v>
      </c>
      <c r="N21" s="19" t="e">
        <f>#REF!</f>
        <v>#REF!</v>
      </c>
      <c r="O21" s="19" t="e">
        <f>#REF!</f>
        <v>#REF!</v>
      </c>
      <c r="P21" s="19" t="s">
        <v>54</v>
      </c>
      <c r="Q21" s="19" t="e">
        <f>O21+1</f>
        <v>#REF!</v>
      </c>
      <c r="R21" s="19" t="e">
        <f t="shared" ref="R21:S21" si="1">Q21+1</f>
        <v>#REF!</v>
      </c>
      <c r="S21" s="19" t="e">
        <f t="shared" si="1"/>
        <v>#REF!</v>
      </c>
      <c r="T21" s="20"/>
      <c r="U21" s="19" t="e">
        <f>CONCATENATE(Q21, "| KOYFIN")</f>
        <v>#REF!</v>
      </c>
      <c r="V21" s="19" t="e">
        <f>CONCATENATE(R21, "| KOYFIN")</f>
        <v>#REF!</v>
      </c>
      <c r="W21" s="19" t="e">
        <f>CONCATENATE(S21, "| KOYFIN")</f>
        <v>#REF!</v>
      </c>
    </row>
    <row r="22" spans="1:26" ht="15">
      <c r="B22" s="1" t="s">
        <v>55</v>
      </c>
      <c r="C22" s="1"/>
      <c r="D22" s="1"/>
      <c r="E22" s="1"/>
      <c r="F22" s="20" t="e">
        <f>#REF!/1000000</f>
        <v>#REF!</v>
      </c>
      <c r="G22" s="20" t="e">
        <f>#REF!/1000000</f>
        <v>#REF!</v>
      </c>
      <c r="H22" s="20" t="e">
        <f>#REF!/1000000</f>
        <v>#REF!</v>
      </c>
      <c r="I22" s="20" t="e">
        <f>#REF!/1000000</f>
        <v>#REF!</v>
      </c>
      <c r="J22" s="20" t="e">
        <f>#REF!/1000000</f>
        <v>#REF!</v>
      </c>
      <c r="K22" s="20" t="e">
        <f>#REF!/1000000</f>
        <v>#REF!</v>
      </c>
      <c r="L22" s="20" t="e">
        <f>#REF!/1000000</f>
        <v>#REF!</v>
      </c>
      <c r="M22" s="20" t="e">
        <f>#REF!/1000000</f>
        <v>#REF!</v>
      </c>
      <c r="N22" s="20" t="e">
        <f>#REF!/1000000</f>
        <v>#REF!</v>
      </c>
      <c r="O22" s="20" t="e">
        <f>#REF!/1000000</f>
        <v>#REF!</v>
      </c>
      <c r="P22" s="21" t="e">
        <f>#REF!/1000000</f>
        <v>#REF!</v>
      </c>
      <c r="Q22" s="21" t="e">
        <f>IF(ISBLANK(U22), IF(ISBLANK(#REF!), O22*(1+AVERAGE($G$23:O23)),#REF!/ 1000000), U22)</f>
        <v>#REF!</v>
      </c>
      <c r="R22" s="20" t="e">
        <f>IF(ISBLANK(V22), IF(ISBLANK(#REF!), Q22*(1+AVERAGE($G$23:O23, Q23)),#REF!/ 1000000), V22)</f>
        <v>#REF!</v>
      </c>
      <c r="S22" s="20" t="e">
        <f>IF(ISBLANK(W22), IF(ISBLANK(#REF!), R22*(1+AVERAGE($G$23:O23,Q23:R23)),#REF!/ 1000000), W22)</f>
        <v>#REF!</v>
      </c>
      <c r="T22" s="20"/>
      <c r="U22" s="22"/>
      <c r="V22" s="22"/>
      <c r="W22" s="22"/>
    </row>
    <row r="23" spans="1:26" ht="15">
      <c r="B23" s="23" t="s">
        <v>56</v>
      </c>
      <c r="C23" s="1"/>
      <c r="D23" s="1"/>
      <c r="E23" s="1"/>
      <c r="F23" s="1"/>
      <c r="G23" s="24" t="e">
        <f t="shared" ref="G23:O23" si="2">(G22/F22)-1</f>
        <v>#REF!</v>
      </c>
      <c r="H23" s="24" t="e">
        <f t="shared" si="2"/>
        <v>#REF!</v>
      </c>
      <c r="I23" s="24" t="e">
        <f t="shared" si="2"/>
        <v>#REF!</v>
      </c>
      <c r="J23" s="24" t="e">
        <f t="shared" si="2"/>
        <v>#REF!</v>
      </c>
      <c r="K23" s="24" t="e">
        <f t="shared" si="2"/>
        <v>#REF!</v>
      </c>
      <c r="L23" s="24" t="e">
        <f t="shared" si="2"/>
        <v>#REF!</v>
      </c>
      <c r="M23" s="24" t="e">
        <f t="shared" si="2"/>
        <v>#REF!</v>
      </c>
      <c r="N23" s="24" t="e">
        <f t="shared" si="2"/>
        <v>#REF!</v>
      </c>
      <c r="O23" s="24" t="e">
        <f t="shared" si="2"/>
        <v>#REF!</v>
      </c>
      <c r="P23" s="25"/>
      <c r="Q23" s="25" t="e">
        <f>(Q22/O22)-1</f>
        <v>#REF!</v>
      </c>
      <c r="R23" s="24" t="e">
        <f t="shared" ref="R23:S23" si="3">(R22/Q22)-1</f>
        <v>#REF!</v>
      </c>
      <c r="S23" s="24" t="e">
        <f t="shared" si="3"/>
        <v>#REF!</v>
      </c>
      <c r="T23" s="24"/>
      <c r="U23" s="26"/>
      <c r="V23" s="26"/>
      <c r="W23" s="26"/>
    </row>
    <row r="24" spans="1:26" ht="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P24" s="27"/>
      <c r="Q24" s="27"/>
      <c r="R24" s="1"/>
      <c r="S24" s="1"/>
      <c r="T24" s="1"/>
      <c r="U24" s="28"/>
      <c r="V24" s="28"/>
      <c r="W24" s="28"/>
    </row>
    <row r="25" spans="1:26" ht="15">
      <c r="B25" s="1" t="s">
        <v>150</v>
      </c>
      <c r="C25" s="1"/>
      <c r="D25" s="1"/>
      <c r="E25" s="1"/>
      <c r="F25" s="20" t="e">
        <f>#REF!/1000000</f>
        <v>#REF!</v>
      </c>
      <c r="G25" s="20" t="e">
        <f>#REF!/1000000</f>
        <v>#REF!</v>
      </c>
      <c r="H25" s="20" t="e">
        <f>#REF!/1000000</f>
        <v>#REF!</v>
      </c>
      <c r="I25" s="20" t="e">
        <f>#REF!/1000000</f>
        <v>#REF!</v>
      </c>
      <c r="J25" s="20" t="e">
        <f>#REF!/1000000</f>
        <v>#REF!</v>
      </c>
      <c r="K25" s="20" t="e">
        <f>#REF!/1000000</f>
        <v>#REF!</v>
      </c>
      <c r="L25" s="20" t="e">
        <f>#REF!/1000000</f>
        <v>#REF!</v>
      </c>
      <c r="M25" s="20" t="e">
        <f>#REF!/1000000</f>
        <v>#REF!</v>
      </c>
      <c r="N25" s="20" t="e">
        <f>#REF!/1000000</f>
        <v>#REF!</v>
      </c>
      <c r="O25" s="20" t="e">
        <f>#REF!/1000000</f>
        <v>#REF!</v>
      </c>
      <c r="P25" s="21" t="e">
        <f>#REF!/1000000</f>
        <v>#REF!</v>
      </c>
      <c r="Q25" s="21" t="e">
        <f>IF(ISBLANK(U25), IF(ISBLANK(#REF!), O25*(1+AVERAGE($G$26:O26)),#REF!/ 1000000), U22)</f>
        <v>#REF!</v>
      </c>
      <c r="R25" s="20" t="e">
        <f>IF(ISBLANK(V25), IF(ISBLANK(#REF!), Q25*(1+AVERAGE($G$26:O26,Q26)),#REF!/ 1000000), V22)</f>
        <v>#REF!</v>
      </c>
      <c r="S25" s="20" t="e">
        <f>IF(ISBLANK(W25), IF(ISBLANK(#REF!), R25*(1+AVERAGE($G$26:O26,Q26:R26)),#REF!/ 1000000), W22)</f>
        <v>#REF!</v>
      </c>
      <c r="T25" s="20"/>
      <c r="U25" s="22"/>
      <c r="V25" s="22"/>
      <c r="W25" s="22"/>
    </row>
    <row r="26" spans="1:26" ht="15">
      <c r="B26" s="208" t="s">
        <v>58</v>
      </c>
      <c r="C26" s="206"/>
      <c r="D26" s="1"/>
      <c r="E26" s="1"/>
      <c r="F26" s="24" t="e">
        <f t="shared" ref="F26:S26" si="4">F25/F22</f>
        <v>#REF!</v>
      </c>
      <c r="G26" s="24" t="e">
        <f t="shared" si="4"/>
        <v>#REF!</v>
      </c>
      <c r="H26" s="24" t="e">
        <f t="shared" si="4"/>
        <v>#REF!</v>
      </c>
      <c r="I26" s="24" t="e">
        <f t="shared" si="4"/>
        <v>#REF!</v>
      </c>
      <c r="J26" s="24" t="e">
        <f t="shared" si="4"/>
        <v>#REF!</v>
      </c>
      <c r="K26" s="24" t="e">
        <f t="shared" si="4"/>
        <v>#REF!</v>
      </c>
      <c r="L26" s="24" t="e">
        <f t="shared" si="4"/>
        <v>#REF!</v>
      </c>
      <c r="M26" s="24" t="e">
        <f t="shared" si="4"/>
        <v>#REF!</v>
      </c>
      <c r="N26" s="24" t="e">
        <f t="shared" si="4"/>
        <v>#REF!</v>
      </c>
      <c r="O26" s="24" t="e">
        <f t="shared" si="4"/>
        <v>#REF!</v>
      </c>
      <c r="P26" s="25" t="e">
        <f t="shared" si="4"/>
        <v>#REF!</v>
      </c>
      <c r="Q26" s="25" t="e">
        <f t="shared" si="4"/>
        <v>#REF!</v>
      </c>
      <c r="R26" s="24" t="e">
        <f t="shared" si="4"/>
        <v>#REF!</v>
      </c>
      <c r="S26" s="24" t="e">
        <f t="shared" si="4"/>
        <v>#REF!</v>
      </c>
      <c r="T26" s="24"/>
      <c r="U26" s="24"/>
      <c r="V26" s="1"/>
    </row>
    <row r="28" spans="1:26" ht="15">
      <c r="A28" s="1" t="s">
        <v>32</v>
      </c>
      <c r="B28" s="12" t="s">
        <v>152</v>
      </c>
      <c r="C28" s="12"/>
      <c r="D28" s="12"/>
      <c r="E28" s="12"/>
      <c r="F28" s="19" t="e">
        <f t="shared" ref="F28:S28" si="5">F21</f>
        <v>#REF!</v>
      </c>
      <c r="G28" s="19" t="e">
        <f t="shared" si="5"/>
        <v>#REF!</v>
      </c>
      <c r="H28" s="19" t="e">
        <f t="shared" si="5"/>
        <v>#REF!</v>
      </c>
      <c r="I28" s="19" t="e">
        <f t="shared" si="5"/>
        <v>#REF!</v>
      </c>
      <c r="J28" s="19" t="e">
        <f t="shared" si="5"/>
        <v>#REF!</v>
      </c>
      <c r="K28" s="19" t="e">
        <f t="shared" si="5"/>
        <v>#REF!</v>
      </c>
      <c r="L28" s="19" t="e">
        <f t="shared" si="5"/>
        <v>#REF!</v>
      </c>
      <c r="M28" s="19" t="e">
        <f t="shared" si="5"/>
        <v>#REF!</v>
      </c>
      <c r="N28" s="19" t="e">
        <f t="shared" si="5"/>
        <v>#REF!</v>
      </c>
      <c r="O28" s="19" t="e">
        <f t="shared" si="5"/>
        <v>#REF!</v>
      </c>
      <c r="P28" s="19" t="str">
        <f t="shared" si="5"/>
        <v>TTM</v>
      </c>
      <c r="Q28" s="19" t="e">
        <f t="shared" si="5"/>
        <v>#REF!</v>
      </c>
      <c r="R28" s="19" t="e">
        <f t="shared" si="5"/>
        <v>#REF!</v>
      </c>
      <c r="S28" s="19" t="e">
        <f t="shared" si="5"/>
        <v>#REF!</v>
      </c>
      <c r="T28" s="19" t="e">
        <f t="shared" ref="T28:Z28" si="6">S28+1</f>
        <v>#REF!</v>
      </c>
      <c r="U28" s="19" t="e">
        <f t="shared" si="6"/>
        <v>#REF!</v>
      </c>
      <c r="V28" s="19" t="e">
        <f t="shared" si="6"/>
        <v>#REF!</v>
      </c>
      <c r="W28" s="19" t="e">
        <f t="shared" si="6"/>
        <v>#REF!</v>
      </c>
      <c r="X28" s="19" t="e">
        <f t="shared" si="6"/>
        <v>#REF!</v>
      </c>
      <c r="Y28" s="19" t="e">
        <f t="shared" si="6"/>
        <v>#REF!</v>
      </c>
      <c r="Z28" s="19" t="e">
        <f t="shared" si="6"/>
        <v>#REF!</v>
      </c>
    </row>
    <row r="29" spans="1:26" ht="15">
      <c r="A29" s="1"/>
      <c r="B29" s="1" t="s">
        <v>55</v>
      </c>
      <c r="C29" s="1"/>
      <c r="D29" s="1"/>
      <c r="E29" s="1"/>
      <c r="F29" s="130" t="e">
        <f t="shared" ref="F29:P29" si="7">F11</f>
        <v>#REF!</v>
      </c>
      <c r="G29" s="130">
        <f t="shared" si="7"/>
        <v>0</v>
      </c>
      <c r="H29" s="130">
        <f t="shared" si="7"/>
        <v>-0.01</v>
      </c>
      <c r="I29" s="130">
        <f t="shared" si="7"/>
        <v>0</v>
      </c>
      <c r="J29" s="130" t="str">
        <f t="shared" si="7"/>
        <v>Last 5Y Revenue Average</v>
      </c>
      <c r="K29" s="130">
        <f t="shared" si="7"/>
        <v>0</v>
      </c>
      <c r="L29" s="130" t="e">
        <f t="shared" si="7"/>
        <v>#REF!</v>
      </c>
      <c r="M29" s="130">
        <f t="shared" si="7"/>
        <v>0</v>
      </c>
      <c r="N29" s="130" t="e">
        <f t="shared" si="7"/>
        <v>#REF!</v>
      </c>
      <c r="O29" s="130">
        <f t="shared" si="7"/>
        <v>0</v>
      </c>
      <c r="P29" s="131">
        <f t="shared" si="7"/>
        <v>0.01</v>
      </c>
      <c r="Q29" s="38">
        <f ca="1">O29*(1+Q30)</f>
        <v>0</v>
      </c>
      <c r="R29" s="38">
        <f t="shared" ref="R29:Z29" ca="1" si="8">Q29*(1+R30)</f>
        <v>0</v>
      </c>
      <c r="S29" s="38">
        <f t="shared" ca="1" si="8"/>
        <v>0</v>
      </c>
      <c r="T29" s="38" t="e">
        <f t="shared" ca="1" si="8"/>
        <v>#REF!</v>
      </c>
      <c r="U29" s="38" t="e">
        <f t="shared" ca="1" si="8"/>
        <v>#REF!</v>
      </c>
      <c r="V29" s="38" t="e">
        <f t="shared" ca="1" si="8"/>
        <v>#REF!</v>
      </c>
      <c r="W29" s="38" t="e">
        <f t="shared" ca="1" si="8"/>
        <v>#REF!</v>
      </c>
      <c r="X29" s="38" t="e">
        <f t="shared" ca="1" si="8"/>
        <v>#REF!</v>
      </c>
      <c r="Y29" s="38" t="e">
        <f t="shared" ca="1" si="8"/>
        <v>#REF!</v>
      </c>
      <c r="Z29" s="38" t="e">
        <f t="shared" ca="1" si="8"/>
        <v>#REF!</v>
      </c>
    </row>
    <row r="30" spans="1:26" ht="15">
      <c r="A30" s="1"/>
      <c r="B30" s="23" t="s">
        <v>56</v>
      </c>
      <c r="C30" s="1"/>
      <c r="D30" s="1"/>
      <c r="E30" s="1"/>
      <c r="F30" s="1"/>
      <c r="G30" s="39" t="e">
        <f t="shared" ref="G30:O30" si="9">G29/F29-1</f>
        <v>#REF!</v>
      </c>
      <c r="H30" s="39" t="e">
        <f t="shared" si="9"/>
        <v>#DIV/0!</v>
      </c>
      <c r="I30" s="39">
        <f t="shared" si="9"/>
        <v>-1</v>
      </c>
      <c r="J30" s="39" t="e">
        <f t="shared" si="9"/>
        <v>#VALUE!</v>
      </c>
      <c r="K30" s="39" t="e">
        <f t="shared" si="9"/>
        <v>#VALUE!</v>
      </c>
      <c r="L30" s="39" t="e">
        <f t="shared" si="9"/>
        <v>#REF!</v>
      </c>
      <c r="M30" s="39" t="e">
        <f t="shared" si="9"/>
        <v>#REF!</v>
      </c>
      <c r="N30" s="39" t="e">
        <f t="shared" si="9"/>
        <v>#REF!</v>
      </c>
      <c r="O30" s="39" t="e">
        <f t="shared" si="9"/>
        <v>#REF!</v>
      </c>
      <c r="P30" s="40"/>
      <c r="Q30" s="41">
        <f t="shared" ref="Q30:Z30" ca="1" si="10">OFFSET(Q30,$D$9,0)</f>
        <v>0</v>
      </c>
      <c r="R30" s="41">
        <f t="shared" ca="1" si="10"/>
        <v>0</v>
      </c>
      <c r="S30" s="41">
        <f t="shared" ca="1" si="10"/>
        <v>0</v>
      </c>
      <c r="T30" s="41" t="e">
        <f t="shared" ca="1" si="10"/>
        <v>#REF!</v>
      </c>
      <c r="U30" s="41" t="e">
        <f t="shared" ca="1" si="10"/>
        <v>#REF!</v>
      </c>
      <c r="V30" s="41" t="e">
        <f t="shared" ca="1" si="10"/>
        <v>#REF!</v>
      </c>
      <c r="W30" s="41" t="e">
        <f t="shared" ca="1" si="10"/>
        <v>#REF!</v>
      </c>
      <c r="X30" s="41" t="e">
        <f t="shared" ca="1" si="10"/>
        <v>#REF!</v>
      </c>
      <c r="Y30" s="41" t="e">
        <f t="shared" ca="1" si="10"/>
        <v>#REF!</v>
      </c>
      <c r="Z30" s="40" t="e">
        <f t="shared" ca="1" si="10"/>
        <v>#REF!</v>
      </c>
    </row>
    <row r="31" spans="1:26" ht="15">
      <c r="A31" s="1"/>
      <c r="B31" s="205" t="s">
        <v>41</v>
      </c>
      <c r="C31" s="206"/>
      <c r="D31" s="1"/>
      <c r="E31" s="1"/>
      <c r="F31" s="1"/>
      <c r="G31" s="1"/>
      <c r="H31" s="1"/>
      <c r="I31" s="1"/>
      <c r="J31" s="1"/>
      <c r="K31" s="1"/>
      <c r="L31" s="1"/>
      <c r="P31" s="27"/>
      <c r="Q31" s="42" t="e">
        <f>#REF!</f>
        <v>#REF!</v>
      </c>
      <c r="R31" s="43" t="e">
        <f t="shared" ref="R31:S31" si="11">Q31-(Q32-R32)</f>
        <v>#REF!</v>
      </c>
      <c r="S31" s="43" t="e">
        <f t="shared" si="11"/>
        <v>#REF!</v>
      </c>
      <c r="T31" s="43" t="e">
        <f t="shared" ref="T31:Y31" si="12">S31-(($S$42-$Z$42)/($Z$39-$S$39))</f>
        <v>#REF!</v>
      </c>
      <c r="U31" s="43" t="e">
        <f t="shared" si="12"/>
        <v>#REF!</v>
      </c>
      <c r="V31" s="43" t="e">
        <f t="shared" si="12"/>
        <v>#REF!</v>
      </c>
      <c r="W31" s="43" t="e">
        <f t="shared" si="12"/>
        <v>#REF!</v>
      </c>
      <c r="X31" s="43" t="e">
        <f t="shared" si="12"/>
        <v>#REF!</v>
      </c>
      <c r="Y31" s="43" t="e">
        <f t="shared" si="12"/>
        <v>#REF!</v>
      </c>
      <c r="Z31" s="44" t="e">
        <f t="shared" ref="Z31:Z33" si="13">#REF!</f>
        <v>#REF!</v>
      </c>
    </row>
    <row r="32" spans="1:26" ht="15">
      <c r="A32" s="1"/>
      <c r="B32" s="205" t="s">
        <v>65</v>
      </c>
      <c r="C32" s="206"/>
      <c r="D32" s="206"/>
      <c r="E32" s="1"/>
      <c r="F32" s="1"/>
      <c r="G32" s="1"/>
      <c r="H32" s="1"/>
      <c r="I32" s="1"/>
      <c r="J32" s="1"/>
      <c r="K32" s="1"/>
      <c r="L32" s="1"/>
      <c r="P32" s="27"/>
      <c r="Q32" s="43">
        <f t="shared" ref="Q32:S32" si="14">Q12</f>
        <v>0</v>
      </c>
      <c r="R32" s="43">
        <f t="shared" si="14"/>
        <v>0</v>
      </c>
      <c r="S32" s="43">
        <f t="shared" si="14"/>
        <v>0</v>
      </c>
      <c r="T32" s="43" t="e">
        <f t="shared" ref="T32:Y32" si="15">S32-(($S$43-$Z$43)/($Z$39-$S$39))</f>
        <v>#REF!</v>
      </c>
      <c r="U32" s="46" t="e">
        <f t="shared" si="15"/>
        <v>#REF!</v>
      </c>
      <c r="V32" s="46" t="e">
        <f t="shared" si="15"/>
        <v>#REF!</v>
      </c>
      <c r="W32" s="46" t="e">
        <f t="shared" si="15"/>
        <v>#REF!</v>
      </c>
      <c r="X32" s="46" t="e">
        <f t="shared" si="15"/>
        <v>#REF!</v>
      </c>
      <c r="Y32" s="46" t="e">
        <f t="shared" si="15"/>
        <v>#REF!</v>
      </c>
      <c r="Z32" s="47" t="e">
        <f t="shared" si="13"/>
        <v>#REF!</v>
      </c>
    </row>
    <row r="33" spans="1:26" ht="15">
      <c r="A33" s="1"/>
      <c r="B33" s="205" t="s">
        <v>43</v>
      </c>
      <c r="C33" s="206"/>
      <c r="D33" s="1"/>
      <c r="E33" s="1"/>
      <c r="F33" s="1"/>
      <c r="G33" s="1"/>
      <c r="H33" s="1"/>
      <c r="I33" s="1"/>
      <c r="J33" s="1"/>
      <c r="K33" s="1"/>
      <c r="L33" s="1"/>
      <c r="P33" s="27"/>
      <c r="Q33" s="42" t="e">
        <f>#REF!</f>
        <v>#REF!</v>
      </c>
      <c r="R33" s="43" t="e">
        <f t="shared" ref="R33:S33" si="16">Q33+(R32-Q32)</f>
        <v>#REF!</v>
      </c>
      <c r="S33" s="43" t="e">
        <f t="shared" si="16"/>
        <v>#REF!</v>
      </c>
      <c r="T33" s="43" t="e">
        <f t="shared" ref="T33:Y33" si="17">S33-(($S$44-$Z$44)/($Z$39-$S$39))</f>
        <v>#REF!</v>
      </c>
      <c r="U33" s="46" t="e">
        <f t="shared" si="17"/>
        <v>#REF!</v>
      </c>
      <c r="V33" s="46" t="e">
        <f t="shared" si="17"/>
        <v>#REF!</v>
      </c>
      <c r="W33" s="46" t="e">
        <f t="shared" si="17"/>
        <v>#REF!</v>
      </c>
      <c r="X33" s="46" t="e">
        <f t="shared" si="17"/>
        <v>#REF!</v>
      </c>
      <c r="Y33" s="46" t="e">
        <f t="shared" si="17"/>
        <v>#REF!</v>
      </c>
      <c r="Z33" s="47" t="e">
        <f t="shared" si="13"/>
        <v>#REF!</v>
      </c>
    </row>
    <row r="34" spans="1:26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P34" s="27"/>
      <c r="Q34" s="34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">
      <c r="A35" s="1"/>
      <c r="B35" s="1" t="s">
        <v>57</v>
      </c>
      <c r="C35" s="1"/>
      <c r="D35" s="1"/>
      <c r="E35" s="1"/>
      <c r="F35" s="130" t="e">
        <f t="shared" ref="F35:P35" si="18">F14</f>
        <v>#REF!</v>
      </c>
      <c r="G35" s="130">
        <f t="shared" si="18"/>
        <v>0</v>
      </c>
      <c r="H35" s="132">
        <f t="shared" si="18"/>
        <v>0.09</v>
      </c>
      <c r="I35" s="130">
        <f t="shared" si="18"/>
        <v>0</v>
      </c>
      <c r="J35" s="130" t="e">
        <f t="shared" si="18"/>
        <v>#REF!</v>
      </c>
      <c r="K35" s="130">
        <f t="shared" si="18"/>
        <v>0</v>
      </c>
      <c r="L35" s="132">
        <f t="shared" si="18"/>
        <v>7.0000000000000007E-2</v>
      </c>
      <c r="M35" s="130">
        <f t="shared" si="18"/>
        <v>0</v>
      </c>
      <c r="N35" s="130" t="e">
        <f t="shared" si="18"/>
        <v>#REF!</v>
      </c>
      <c r="O35" s="130">
        <f t="shared" si="18"/>
        <v>0</v>
      </c>
      <c r="P35" s="133">
        <f t="shared" si="18"/>
        <v>0.05</v>
      </c>
      <c r="Q35" s="38">
        <f t="shared" ref="Q35:Z35" ca="1" si="19">Q36*Q29</f>
        <v>0</v>
      </c>
      <c r="R35" s="38">
        <f t="shared" ca="1" si="19"/>
        <v>0</v>
      </c>
      <c r="S35" s="38">
        <f t="shared" ca="1" si="19"/>
        <v>0</v>
      </c>
      <c r="T35" s="38" t="e">
        <f t="shared" ca="1" si="19"/>
        <v>#REF!</v>
      </c>
      <c r="U35" s="38" t="e">
        <f t="shared" ca="1" si="19"/>
        <v>#REF!</v>
      </c>
      <c r="V35" s="38" t="e">
        <f t="shared" ca="1" si="19"/>
        <v>#REF!</v>
      </c>
      <c r="W35" s="38" t="e">
        <f t="shared" ca="1" si="19"/>
        <v>#REF!</v>
      </c>
      <c r="X35" s="38" t="e">
        <f t="shared" ca="1" si="19"/>
        <v>#REF!</v>
      </c>
      <c r="Y35" s="38" t="e">
        <f t="shared" ca="1" si="19"/>
        <v>#REF!</v>
      </c>
      <c r="Z35" s="38" t="e">
        <f t="shared" ca="1" si="19"/>
        <v>#REF!</v>
      </c>
    </row>
    <row r="36" spans="1:26" ht="15">
      <c r="A36" s="1"/>
      <c r="B36" s="23" t="s">
        <v>66</v>
      </c>
      <c r="C36" s="1"/>
      <c r="D36" s="1"/>
      <c r="E36" s="1"/>
      <c r="F36" s="39" t="e">
        <f t="shared" ref="F36:P36" si="20">F35/F29</f>
        <v>#REF!</v>
      </c>
      <c r="G36" s="39" t="e">
        <f t="shared" si="20"/>
        <v>#DIV/0!</v>
      </c>
      <c r="H36" s="39">
        <f t="shared" si="20"/>
        <v>-9</v>
      </c>
      <c r="I36" s="39" t="e">
        <f t="shared" si="20"/>
        <v>#DIV/0!</v>
      </c>
      <c r="J36" s="39" t="e">
        <f t="shared" si="20"/>
        <v>#REF!</v>
      </c>
      <c r="K36" s="39" t="e">
        <f t="shared" si="20"/>
        <v>#DIV/0!</v>
      </c>
      <c r="L36" s="39" t="e">
        <f t="shared" si="20"/>
        <v>#REF!</v>
      </c>
      <c r="M36" s="39" t="e">
        <f t="shared" si="20"/>
        <v>#DIV/0!</v>
      </c>
      <c r="N36" s="39" t="e">
        <f t="shared" si="20"/>
        <v>#REF!</v>
      </c>
      <c r="O36" s="39" t="e">
        <f t="shared" si="20"/>
        <v>#DIV/0!</v>
      </c>
      <c r="P36" s="40">
        <f t="shared" si="20"/>
        <v>5</v>
      </c>
      <c r="Q36" s="41">
        <f t="shared" ref="Q36:Z36" ca="1" si="21">OFFSET(Q36,$D$10,0)</f>
        <v>0</v>
      </c>
      <c r="R36" s="41">
        <f t="shared" ca="1" si="21"/>
        <v>0</v>
      </c>
      <c r="S36" s="41">
        <f t="shared" ca="1" si="21"/>
        <v>0</v>
      </c>
      <c r="T36" s="41">
        <f t="shared" ca="1" si="21"/>
        <v>0</v>
      </c>
      <c r="U36" s="41">
        <f t="shared" ca="1" si="21"/>
        <v>0</v>
      </c>
      <c r="V36" s="41">
        <f t="shared" ca="1" si="21"/>
        <v>0</v>
      </c>
      <c r="W36" s="41">
        <f t="shared" ca="1" si="21"/>
        <v>0</v>
      </c>
      <c r="X36" s="41">
        <f t="shared" ca="1" si="21"/>
        <v>0</v>
      </c>
      <c r="Y36" s="41">
        <f t="shared" ca="1" si="21"/>
        <v>0</v>
      </c>
      <c r="Z36" s="41">
        <f t="shared" ca="1" si="21"/>
        <v>0</v>
      </c>
    </row>
    <row r="37" spans="1:26" ht="15">
      <c r="A37" s="1"/>
      <c r="B37" s="205" t="s">
        <v>41</v>
      </c>
      <c r="C37" s="206"/>
      <c r="D37" s="1"/>
      <c r="E37" s="1"/>
      <c r="F37" s="1"/>
      <c r="G37" s="1"/>
      <c r="H37" s="1"/>
      <c r="I37" s="1"/>
      <c r="J37" s="1"/>
      <c r="K37" s="1"/>
      <c r="L37" s="1"/>
      <c r="P37" s="27"/>
      <c r="Q37" s="48" t="e">
        <f>#REF!</f>
        <v>#REF!</v>
      </c>
      <c r="R37" s="49" t="e">
        <f>Q37+(R38-Q38)</f>
        <v>#REF!</v>
      </c>
      <c r="S37" s="50" t="e">
        <f t="shared" ref="S37:Z37" si="22">R37</f>
        <v>#REF!</v>
      </c>
      <c r="T37" s="50" t="e">
        <f t="shared" si="22"/>
        <v>#REF!</v>
      </c>
      <c r="U37" s="50" t="e">
        <f t="shared" si="22"/>
        <v>#REF!</v>
      </c>
      <c r="V37" s="50" t="e">
        <f t="shared" si="22"/>
        <v>#REF!</v>
      </c>
      <c r="W37" s="50" t="e">
        <f t="shared" si="22"/>
        <v>#REF!</v>
      </c>
      <c r="X37" s="50" t="e">
        <f t="shared" si="22"/>
        <v>#REF!</v>
      </c>
      <c r="Y37" s="50" t="e">
        <f t="shared" si="22"/>
        <v>#REF!</v>
      </c>
      <c r="Z37" s="50" t="e">
        <f t="shared" si="22"/>
        <v>#REF!</v>
      </c>
    </row>
    <row r="38" spans="1:26" ht="15">
      <c r="A38" s="1"/>
      <c r="B38" s="205" t="s">
        <v>65</v>
      </c>
      <c r="C38" s="206"/>
      <c r="D38" s="206"/>
      <c r="E38" s="1"/>
      <c r="F38" s="1"/>
      <c r="G38" s="1"/>
      <c r="H38" s="1"/>
      <c r="I38" s="1"/>
      <c r="J38" s="1"/>
      <c r="K38" s="1"/>
      <c r="L38" s="1"/>
      <c r="P38" s="27"/>
      <c r="Q38" s="134">
        <f t="shared" ref="Q38:S38" si="23">Q15</f>
        <v>0</v>
      </c>
      <c r="R38" s="134">
        <f t="shared" si="23"/>
        <v>0</v>
      </c>
      <c r="S38" s="134">
        <f t="shared" si="23"/>
        <v>0</v>
      </c>
      <c r="T38" s="54">
        <f t="shared" ref="T38:Z38" si="24">S38</f>
        <v>0</v>
      </c>
      <c r="U38" s="54">
        <f t="shared" si="24"/>
        <v>0</v>
      </c>
      <c r="V38" s="54">
        <f t="shared" si="24"/>
        <v>0</v>
      </c>
      <c r="W38" s="54">
        <f t="shared" si="24"/>
        <v>0</v>
      </c>
      <c r="X38" s="54">
        <f t="shared" si="24"/>
        <v>0</v>
      </c>
      <c r="Y38" s="54">
        <f t="shared" si="24"/>
        <v>0</v>
      </c>
      <c r="Z38" s="54">
        <f t="shared" si="24"/>
        <v>0</v>
      </c>
    </row>
    <row r="39" spans="1:26" ht="15">
      <c r="A39" s="1"/>
      <c r="B39" s="205" t="s">
        <v>43</v>
      </c>
      <c r="C39" s="206"/>
      <c r="D39" s="1"/>
      <c r="E39" s="1"/>
      <c r="F39" s="1"/>
      <c r="G39" s="1"/>
      <c r="H39" s="1"/>
      <c r="I39" s="1"/>
      <c r="J39" s="1"/>
      <c r="K39" s="1"/>
      <c r="L39" s="1"/>
      <c r="P39" s="27"/>
      <c r="Q39" s="53" t="e">
        <f>#REF!</f>
        <v>#REF!</v>
      </c>
      <c r="R39" s="46" t="e">
        <f t="shared" ref="R39:S39" si="25">Q39+(R38-Q38)</f>
        <v>#REF!</v>
      </c>
      <c r="S39" s="46" t="e">
        <f t="shared" si="25"/>
        <v>#REF!</v>
      </c>
      <c r="T39" s="54" t="e">
        <f t="shared" ref="T39:Z39" si="26">S39</f>
        <v>#REF!</v>
      </c>
      <c r="U39" s="54" t="e">
        <f t="shared" si="26"/>
        <v>#REF!</v>
      </c>
      <c r="V39" s="54" t="e">
        <f t="shared" si="26"/>
        <v>#REF!</v>
      </c>
      <c r="W39" s="54" t="e">
        <f t="shared" si="26"/>
        <v>#REF!</v>
      </c>
      <c r="X39" s="54" t="e">
        <f t="shared" si="26"/>
        <v>#REF!</v>
      </c>
      <c r="Y39" s="54" t="e">
        <f t="shared" si="26"/>
        <v>#REF!</v>
      </c>
      <c r="Z39" s="54" t="e">
        <f t="shared" si="26"/>
        <v>#REF!</v>
      </c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P40" s="27"/>
      <c r="Q40" s="34"/>
      <c r="R40" s="35"/>
      <c r="S40" s="35"/>
      <c r="T40" s="35"/>
      <c r="U40" s="35"/>
      <c r="V40" s="35"/>
      <c r="W40" s="35"/>
      <c r="X40" s="35"/>
      <c r="Y40" s="35"/>
      <c r="Z40" s="35"/>
    </row>
  </sheetData>
  <mergeCells count="25">
    <mergeCell ref="J14:K14"/>
    <mergeCell ref="N14:O14"/>
    <mergeCell ref="B2:D2"/>
    <mergeCell ref="E4:F4"/>
    <mergeCell ref="E5:F5"/>
    <mergeCell ref="I5:J5"/>
    <mergeCell ref="B7:C7"/>
    <mergeCell ref="N8:O8"/>
    <mergeCell ref="N9:O9"/>
    <mergeCell ref="F8:G8"/>
    <mergeCell ref="F9:G9"/>
    <mergeCell ref="F10:G10"/>
    <mergeCell ref="J10:K10"/>
    <mergeCell ref="N10:O10"/>
    <mergeCell ref="B33:C33"/>
    <mergeCell ref="B37:C37"/>
    <mergeCell ref="B38:D38"/>
    <mergeCell ref="B39:C39"/>
    <mergeCell ref="B9:C9"/>
    <mergeCell ref="B10:C10"/>
    <mergeCell ref="B17:C17"/>
    <mergeCell ref="B21:C21"/>
    <mergeCell ref="B26:C26"/>
    <mergeCell ref="B31:C31"/>
    <mergeCell ref="B32:D32"/>
  </mergeCells>
  <conditionalFormatting sqref="K5:L5">
    <cfRule type="cellIs" dxfId="4" priority="3" operator="greaterThan">
      <formula>"10%"</formula>
    </cfRule>
    <cfRule type="cellIs" dxfId="3" priority="4" operator="lessThanOrEqual">
      <formula>"0%"</formula>
    </cfRule>
    <cfRule type="cellIs" dxfId="2" priority="5" operator="greaterThan">
      <formula>"0%"</formula>
    </cfRule>
  </conditionalFormatting>
  <conditionalFormatting sqref="T21:T22 F22:S22 F25:T25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6A36-7628-E049-961B-07238E64E816}">
  <sheetPr codeName="Sheet7"/>
  <dimension ref="B2:M47"/>
  <sheetViews>
    <sheetView showGridLines="0" workbookViewId="0">
      <selection activeCell="C10" sqref="C10"/>
    </sheetView>
  </sheetViews>
  <sheetFormatPr baseColWidth="10" defaultRowHeight="13"/>
  <cols>
    <col min="1" max="1" width="2.1640625" customWidth="1"/>
    <col min="2" max="2" width="42.5" bestFit="1" customWidth="1"/>
    <col min="3" max="13" width="16.6640625" customWidth="1"/>
  </cols>
  <sheetData>
    <row r="2" spans="2:13" ht="15">
      <c r="B2" s="225" t="s">
        <v>53</v>
      </c>
      <c r="C2" s="149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2:13" ht="14">
      <c r="B3" s="226"/>
      <c r="C3" s="151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2:13" ht="15">
      <c r="B4" s="137" t="s">
        <v>171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</row>
    <row r="5" spans="2:13" ht="15">
      <c r="B5" s="135" t="s">
        <v>173</v>
      </c>
      <c r="C5" s="141"/>
      <c r="D5" s="139" t="e">
        <f>D4/C4-1</f>
        <v>#DIV/0!</v>
      </c>
      <c r="E5" s="139" t="e">
        <f t="shared" ref="E5:M5" si="0">E4/D4-1</f>
        <v>#DIV/0!</v>
      </c>
      <c r="F5" s="139" t="e">
        <f t="shared" si="0"/>
        <v>#DIV/0!</v>
      </c>
      <c r="G5" s="139" t="e">
        <f t="shared" si="0"/>
        <v>#DIV/0!</v>
      </c>
      <c r="H5" s="139" t="e">
        <f t="shared" si="0"/>
        <v>#DIV/0!</v>
      </c>
      <c r="I5" s="139" t="e">
        <f t="shared" si="0"/>
        <v>#DIV/0!</v>
      </c>
      <c r="J5" s="139" t="e">
        <f t="shared" si="0"/>
        <v>#DIV/0!</v>
      </c>
      <c r="K5" s="139" t="e">
        <f t="shared" si="0"/>
        <v>#DIV/0!</v>
      </c>
      <c r="L5" s="139" t="e">
        <f t="shared" si="0"/>
        <v>#DIV/0!</v>
      </c>
      <c r="M5" s="139" t="e">
        <f t="shared" si="0"/>
        <v>#DIV/0!</v>
      </c>
    </row>
    <row r="6" spans="2:13" ht="15">
      <c r="B6" s="135" t="s">
        <v>170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</row>
    <row r="7" spans="2:13" ht="15">
      <c r="B7" s="137" t="s">
        <v>153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</row>
    <row r="8" spans="2:13" ht="15">
      <c r="B8" s="135" t="s">
        <v>172</v>
      </c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</row>
    <row r="10" spans="2:13" ht="15">
      <c r="B10" s="135" t="s">
        <v>175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</row>
    <row r="11" spans="2:13" ht="15">
      <c r="B11" s="135" t="s">
        <v>176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2:13" ht="15">
      <c r="B12" s="135" t="s">
        <v>174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2:13" ht="15">
      <c r="B13" s="135" t="s">
        <v>154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</row>
    <row r="14" spans="2:13" ht="15">
      <c r="B14" s="137" t="s">
        <v>155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</row>
    <row r="15" spans="2:13" ht="15">
      <c r="B15" s="135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</row>
    <row r="16" spans="2:13" ht="15">
      <c r="B16" s="142" t="s">
        <v>156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</row>
    <row r="17" spans="2:13" ht="15">
      <c r="B17" s="135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</row>
    <row r="19" spans="2:13" ht="15">
      <c r="B19" s="135" t="s">
        <v>157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</row>
    <row r="20" spans="2:13" ht="15">
      <c r="B20" s="135" t="s">
        <v>158</v>
      </c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</row>
    <row r="21" spans="2:13" ht="15">
      <c r="B21" s="137" t="s">
        <v>159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</row>
    <row r="22" spans="2:13" ht="15">
      <c r="B22" s="135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</row>
    <row r="23" spans="2:13" ht="15">
      <c r="B23" s="135" t="s">
        <v>160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</row>
    <row r="24" spans="2:13" ht="15">
      <c r="B24" s="137" t="s">
        <v>177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</row>
    <row r="25" spans="2:13" ht="15">
      <c r="B25" s="153" t="s">
        <v>172</v>
      </c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</row>
    <row r="26" spans="2:13" ht="15">
      <c r="B26" s="135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</row>
    <row r="27" spans="2:13" ht="15">
      <c r="B27" s="135" t="s">
        <v>161</v>
      </c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</row>
    <row r="28" spans="2:13" ht="15">
      <c r="B28" s="135" t="s">
        <v>178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</row>
    <row r="29" spans="2:13" ht="16" thickBot="1">
      <c r="B29" s="145" t="s">
        <v>162</v>
      </c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</row>
    <row r="30" spans="2:13" ht="16" thickTop="1">
      <c r="B30" s="153" t="s">
        <v>172</v>
      </c>
      <c r="C30" s="154"/>
      <c r="D30" s="139"/>
      <c r="E30" s="139"/>
      <c r="F30" s="139"/>
      <c r="G30" s="139"/>
      <c r="H30" s="139"/>
      <c r="I30" s="139"/>
      <c r="J30" s="139"/>
      <c r="K30" s="139"/>
      <c r="L30" s="139"/>
      <c r="M30" s="139"/>
    </row>
    <row r="32" spans="2:13" ht="15">
      <c r="B32" s="142" t="s">
        <v>179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</row>
    <row r="33" spans="2:13" ht="15">
      <c r="B33" s="135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</row>
    <row r="34" spans="2:13" ht="15">
      <c r="B34" s="142" t="s">
        <v>163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</row>
    <row r="35" spans="2:13" ht="15">
      <c r="B35" s="135" t="s">
        <v>164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</row>
    <row r="36" spans="2:13" ht="15">
      <c r="B36" s="135" t="s">
        <v>165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5">
      <c r="B37" s="135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</row>
    <row r="38" spans="2:13" ht="15">
      <c r="B38" s="135" t="s">
        <v>166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</row>
    <row r="39" spans="2:13" ht="15">
      <c r="B39" s="135" t="s">
        <v>167</v>
      </c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5">
      <c r="B40" s="135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</row>
    <row r="41" spans="2:13" ht="15">
      <c r="B41" s="142" t="s">
        <v>168</v>
      </c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</row>
    <row r="42" spans="2:13" ht="15">
      <c r="B42" s="135" t="s">
        <v>169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</row>
    <row r="43" spans="2:13" ht="15">
      <c r="B43" s="153" t="s">
        <v>172</v>
      </c>
      <c r="C43" s="136"/>
      <c r="D43" s="139" t="e">
        <f>D42/C42-1</f>
        <v>#DIV/0!</v>
      </c>
      <c r="E43" s="139" t="e">
        <f t="shared" ref="E43:M43" si="1">E42/D42-1</f>
        <v>#DIV/0!</v>
      </c>
      <c r="F43" s="139" t="e">
        <f t="shared" si="1"/>
        <v>#DIV/0!</v>
      </c>
      <c r="G43" s="139" t="e">
        <f t="shared" si="1"/>
        <v>#DIV/0!</v>
      </c>
      <c r="H43" s="139" t="e">
        <f t="shared" si="1"/>
        <v>#DIV/0!</v>
      </c>
      <c r="I43" s="139" t="e">
        <f t="shared" si="1"/>
        <v>#DIV/0!</v>
      </c>
      <c r="J43" s="139" t="e">
        <f t="shared" si="1"/>
        <v>#DIV/0!</v>
      </c>
      <c r="K43" s="139" t="e">
        <f t="shared" si="1"/>
        <v>#DIV/0!</v>
      </c>
      <c r="L43" s="139" t="e">
        <f t="shared" si="1"/>
        <v>#DIV/0!</v>
      </c>
      <c r="M43" s="139" t="e">
        <f t="shared" si="1"/>
        <v>#DIV/0!</v>
      </c>
    </row>
    <row r="44" spans="2:13" ht="15">
      <c r="B44" s="135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</row>
    <row r="45" spans="2:13" ht="15">
      <c r="B45" s="135" t="s">
        <v>57</v>
      </c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</row>
    <row r="46" spans="2:13" ht="15">
      <c r="B46" s="153" t="s">
        <v>172</v>
      </c>
      <c r="C46" s="136"/>
      <c r="D46" s="139" t="e">
        <f>D45/C45-1</f>
        <v>#DIV/0!</v>
      </c>
      <c r="E46" s="139" t="e">
        <f t="shared" ref="E46:M46" si="2">E45/D45-1</f>
        <v>#DIV/0!</v>
      </c>
      <c r="F46" s="139" t="e">
        <f t="shared" si="2"/>
        <v>#DIV/0!</v>
      </c>
      <c r="G46" s="139" t="e">
        <f t="shared" si="2"/>
        <v>#DIV/0!</v>
      </c>
      <c r="H46" s="139" t="e">
        <f t="shared" si="2"/>
        <v>#DIV/0!</v>
      </c>
      <c r="I46" s="139" t="e">
        <f t="shared" si="2"/>
        <v>#DIV/0!</v>
      </c>
      <c r="J46" s="139" t="e">
        <f t="shared" si="2"/>
        <v>#DIV/0!</v>
      </c>
      <c r="K46" s="139" t="e">
        <f t="shared" si="2"/>
        <v>#DIV/0!</v>
      </c>
      <c r="L46" s="139" t="e">
        <f t="shared" si="2"/>
        <v>#DIV/0!</v>
      </c>
      <c r="M46" s="139" t="e">
        <f t="shared" si="2"/>
        <v>#DIV/0!</v>
      </c>
    </row>
    <row r="47" spans="2:13" ht="15">
      <c r="B47" s="135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</row>
  </sheetData>
  <mergeCells count="1">
    <mergeCell ref="B2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9826-71AC-8B47-93C8-EDBE6B8D7AEC}">
  <sheetPr codeName="Sheet8"/>
  <dimension ref="A2:M52"/>
  <sheetViews>
    <sheetView showGridLines="0" workbookViewId="0">
      <selection activeCell="M35" sqref="M35"/>
    </sheetView>
  </sheetViews>
  <sheetFormatPr baseColWidth="10" defaultRowHeight="13"/>
  <cols>
    <col min="1" max="1" width="2.83203125" customWidth="1"/>
    <col min="2" max="2" width="44.83203125" bestFit="1" customWidth="1"/>
    <col min="3" max="13" width="16.6640625" customWidth="1"/>
  </cols>
  <sheetData>
    <row r="2" spans="2:13" ht="14">
      <c r="B2" s="227" t="s">
        <v>182</v>
      </c>
      <c r="C2" s="163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2:13">
      <c r="B3" s="228"/>
      <c r="C3" s="165"/>
      <c r="D3" s="166"/>
      <c r="E3" s="166"/>
      <c r="F3" s="166"/>
      <c r="G3" s="166"/>
      <c r="H3" s="166"/>
      <c r="I3" s="166"/>
      <c r="J3" s="166"/>
      <c r="K3" s="166"/>
      <c r="L3" s="166"/>
      <c r="M3" s="166"/>
    </row>
    <row r="4" spans="2:13" ht="16">
      <c r="B4" s="157" t="s">
        <v>194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</row>
    <row r="5" spans="2:13" ht="15">
      <c r="B5" s="135" t="s">
        <v>195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</row>
    <row r="6" spans="2:13" ht="15">
      <c r="B6" s="135" t="s">
        <v>196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</row>
    <row r="7" spans="2:13" ht="15">
      <c r="B7" s="142" t="s">
        <v>387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</row>
    <row r="8" spans="2:13" ht="15">
      <c r="B8" s="135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</row>
    <row r="9" spans="2:13" ht="15">
      <c r="B9" s="182" t="s">
        <v>388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</row>
    <row r="10" spans="2:13" ht="15">
      <c r="B10" s="135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</row>
    <row r="11" spans="2:13" ht="15">
      <c r="B11" s="135" t="s">
        <v>197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2:13" ht="15">
      <c r="B12" s="135" t="s">
        <v>198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2:13" ht="15">
      <c r="B13" s="137" t="s">
        <v>199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</row>
    <row r="14" spans="2:13" ht="15">
      <c r="B14" s="135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</row>
    <row r="15" spans="2:13" ht="15">
      <c r="B15" s="137" t="s">
        <v>200</v>
      </c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</row>
    <row r="16" spans="2:13" ht="15">
      <c r="B16" s="142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</row>
    <row r="17" spans="1:13" ht="15">
      <c r="B17" s="135" t="s">
        <v>389</v>
      </c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</row>
    <row r="18" spans="1:13" ht="15">
      <c r="B18" s="135" t="s">
        <v>390</v>
      </c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</row>
    <row r="19" spans="1:13" ht="15">
      <c r="A19" s="155"/>
      <c r="B19" s="185" t="s">
        <v>391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</row>
    <row r="20" spans="1:13" ht="15">
      <c r="B20" s="135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</row>
    <row r="21" spans="1:13" ht="15">
      <c r="B21" s="135" t="s">
        <v>201</v>
      </c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</row>
    <row r="22" spans="1:13" ht="15">
      <c r="B22" s="135" t="s">
        <v>202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</row>
    <row r="23" spans="1:13" ht="15">
      <c r="A23" s="155"/>
      <c r="B23" s="185" t="s">
        <v>396</v>
      </c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</row>
    <row r="24" spans="1:13" ht="15"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</row>
    <row r="25" spans="1:13" ht="16" thickBot="1">
      <c r="B25" s="145" t="s">
        <v>203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</row>
    <row r="26" spans="1:13" ht="16" thickTop="1">
      <c r="B26" s="135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</row>
    <row r="27" spans="1:13" ht="15">
      <c r="B27" s="142" t="s">
        <v>204</v>
      </c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</row>
    <row r="28" spans="1:13" ht="15">
      <c r="B28" s="135" t="s">
        <v>205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</row>
    <row r="29" spans="1:13" ht="15">
      <c r="B29" s="135" t="s">
        <v>392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</row>
    <row r="30" spans="1:13" ht="15">
      <c r="B30" s="135" t="s">
        <v>393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1:13" ht="15">
      <c r="B31" s="135" t="s">
        <v>394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</row>
    <row r="32" spans="1:13" ht="15">
      <c r="B32" s="135" t="s">
        <v>206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</row>
    <row r="33" spans="2:13" ht="15">
      <c r="B33" s="137" t="s">
        <v>207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</row>
    <row r="34" spans="2:13" ht="15">
      <c r="B34" s="135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</row>
    <row r="35" spans="2:13" ht="15">
      <c r="B35" s="135" t="s">
        <v>208</v>
      </c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</row>
    <row r="36" spans="2:13" ht="15">
      <c r="B36" s="135" t="s">
        <v>395</v>
      </c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</row>
    <row r="37" spans="2:13" ht="15">
      <c r="B37" s="135" t="s">
        <v>209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</row>
    <row r="38" spans="2:13" ht="15">
      <c r="B38" s="137" t="s">
        <v>397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</row>
    <row r="39" spans="2:13" ht="15"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</row>
    <row r="40" spans="2:13" ht="16" thickBot="1">
      <c r="B40" s="145" t="s">
        <v>401</v>
      </c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</row>
    <row r="41" spans="2:13" ht="16" thickTop="1">
      <c r="B41" s="135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</row>
    <row r="42" spans="2:13" ht="15">
      <c r="B42" s="135" t="s">
        <v>210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</row>
    <row r="43" spans="2:13" ht="15">
      <c r="B43" s="135" t="s">
        <v>398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</row>
    <row r="44" spans="2:13" ht="15">
      <c r="B44" s="161" t="s">
        <v>399</v>
      </c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</row>
    <row r="45" spans="2:13" ht="15">
      <c r="B45" s="142" t="s">
        <v>211</v>
      </c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</row>
    <row r="46" spans="2:13" ht="15">
      <c r="B46" s="135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</row>
    <row r="47" spans="2:13" ht="16" thickBot="1">
      <c r="B47" s="145" t="s">
        <v>212</v>
      </c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</row>
    <row r="48" spans="2:13" ht="16" thickTop="1">
      <c r="B48" s="135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</row>
    <row r="49" spans="2:13" ht="15">
      <c r="B49" s="142" t="s">
        <v>168</v>
      </c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</row>
    <row r="50" spans="2:13" ht="15">
      <c r="B50" s="135" t="s">
        <v>213</v>
      </c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</row>
    <row r="51" spans="2:13" ht="15">
      <c r="B51" s="135" t="s">
        <v>144</v>
      </c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</row>
    <row r="52" spans="2:13" ht="15">
      <c r="B52" s="135" t="s">
        <v>400</v>
      </c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</row>
  </sheetData>
  <mergeCells count="1">
    <mergeCell ref="B2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BFD5-5C7D-7041-AD48-960B54605070}">
  <sheetPr codeName="Sheet9"/>
  <dimension ref="B2:M46"/>
  <sheetViews>
    <sheetView showGridLines="0" workbookViewId="0">
      <selection activeCell="B15" sqref="B15"/>
    </sheetView>
  </sheetViews>
  <sheetFormatPr baseColWidth="10" defaultRowHeight="13"/>
  <cols>
    <col min="1" max="1" width="2.6640625" customWidth="1"/>
    <col min="2" max="2" width="37.6640625" bestFit="1" customWidth="1"/>
    <col min="3" max="13" width="16.6640625" customWidth="1"/>
  </cols>
  <sheetData>
    <row r="2" spans="2:13" ht="15">
      <c r="B2" s="225" t="s">
        <v>215</v>
      </c>
      <c r="C2" s="149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2:13" ht="14">
      <c r="B3" s="226"/>
      <c r="C3" s="151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2:13" ht="15">
      <c r="B4" s="142" t="s">
        <v>162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</row>
    <row r="5" spans="2:13" ht="15">
      <c r="B5" s="142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</row>
    <row r="6" spans="2:13" ht="15">
      <c r="B6" s="137" t="s">
        <v>408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</row>
    <row r="7" spans="2:13" ht="15"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</row>
    <row r="8" spans="2:13" ht="15">
      <c r="B8" s="135" t="s">
        <v>405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</row>
    <row r="9" spans="2:13" ht="15">
      <c r="B9" s="135" t="s">
        <v>406</v>
      </c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</row>
    <row r="10" spans="2:13" ht="15">
      <c r="B10" s="135" t="s">
        <v>205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</row>
    <row r="11" spans="2:13" ht="15">
      <c r="B11" s="135" t="s">
        <v>394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2:13" ht="15">
      <c r="B12" s="135" t="s">
        <v>407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2:13" ht="15">
      <c r="B13" s="182" t="s">
        <v>404</v>
      </c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</row>
    <row r="15" spans="2:13" ht="15">
      <c r="B15" s="135" t="s">
        <v>402</v>
      </c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</row>
    <row r="16" spans="2:13" ht="15">
      <c r="B16" s="135" t="s">
        <v>403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</row>
    <row r="17" spans="2:13" ht="15">
      <c r="B17" s="135" t="s">
        <v>216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</row>
    <row r="18" spans="2:13" ht="16" thickBot="1">
      <c r="B18" s="145" t="s">
        <v>217</v>
      </c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</row>
    <row r="19" spans="2:13" ht="16" thickTop="1">
      <c r="B19" s="135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</row>
    <row r="20" spans="2:13" ht="15">
      <c r="B20" s="135" t="s">
        <v>409</v>
      </c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</row>
    <row r="21" spans="2:13" ht="15">
      <c r="B21" s="135" t="s">
        <v>410</v>
      </c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</row>
    <row r="22" spans="2:13" ht="15">
      <c r="B22" s="135" t="s">
        <v>411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</row>
    <row r="23" spans="2:13" ht="15">
      <c r="B23" s="135" t="s">
        <v>412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</row>
    <row r="24" spans="2:13" ht="15">
      <c r="B24" s="135" t="s">
        <v>219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</row>
    <row r="25" spans="2:13" ht="16" thickBot="1">
      <c r="B25" s="145" t="s">
        <v>220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</row>
    <row r="26" spans="2:13" ht="16" thickTop="1">
      <c r="B26" s="135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</row>
    <row r="27" spans="2:13" ht="15">
      <c r="B27" s="135" t="s">
        <v>413</v>
      </c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</row>
    <row r="28" spans="2:13" ht="15">
      <c r="B28" s="135" t="s">
        <v>414</v>
      </c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</row>
    <row r="29" spans="2:13" ht="15">
      <c r="B29" s="135" t="s">
        <v>415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</row>
    <row r="30" spans="2:13" ht="15">
      <c r="B30" s="135" t="s">
        <v>416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2:13" ht="15">
      <c r="B31" s="135" t="s">
        <v>221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</row>
    <row r="32" spans="2:13" ht="16" thickBot="1">
      <c r="B32" s="145" t="s">
        <v>222</v>
      </c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</row>
    <row r="33" spans="2:13" ht="16" thickTop="1">
      <c r="B33" s="14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</row>
    <row r="34" spans="2:13" ht="16" thickBot="1">
      <c r="B34" s="145" t="s">
        <v>417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</row>
    <row r="35" spans="2:13" ht="16" thickTop="1">
      <c r="B35" s="135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</row>
    <row r="36" spans="2:13" ht="16" thickBot="1">
      <c r="B36" s="145" t="s">
        <v>223</v>
      </c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</row>
    <row r="37" spans="2:13" ht="16" thickTop="1">
      <c r="B37" s="142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</row>
    <row r="38" spans="2:13" ht="15">
      <c r="B38" s="135" t="s">
        <v>421</v>
      </c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</row>
    <row r="39" spans="2:13" ht="15">
      <c r="B39" s="135" t="s">
        <v>218</v>
      </c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</row>
    <row r="40" spans="2:13" ht="16" thickBot="1">
      <c r="B40" s="145" t="s">
        <v>418</v>
      </c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</row>
    <row r="41" spans="2:13" ht="16" thickTop="1">
      <c r="B41" s="135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</row>
    <row r="42" spans="2:13" ht="15">
      <c r="B42" s="142" t="s">
        <v>168</v>
      </c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</row>
    <row r="43" spans="2:13" ht="15">
      <c r="B43" s="135" t="s">
        <v>419</v>
      </c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</row>
    <row r="44" spans="2:13" ht="15">
      <c r="B44" s="135" t="s">
        <v>420</v>
      </c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</row>
    <row r="45" spans="2:13" ht="15">
      <c r="B45" s="135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</row>
    <row r="46" spans="2:13" ht="15">
      <c r="B46" s="135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DCF</vt:lpstr>
      <vt:lpstr>WACC</vt:lpstr>
      <vt:lpstr>REVENUE_BREAKDOWN</vt:lpstr>
      <vt:lpstr>COMPETITORS</vt:lpstr>
      <vt:lpstr>EBITDA_MULTIPLE</vt:lpstr>
      <vt:lpstr>IS</vt:lpstr>
      <vt:lpstr>BS</vt:lpstr>
      <vt:lpstr>CF</vt:lpstr>
      <vt:lpstr>RESEARCH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nikola.dichev</cp:lastModifiedBy>
  <dcterms:modified xsi:type="dcterms:W3CDTF">2024-02-08T22:03:03Z</dcterms:modified>
</cp:coreProperties>
</file>