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1_2022-03-07 to 2022-03-13\Website\"/>
    </mc:Choice>
  </mc:AlternateContent>
  <bookViews>
    <workbookView xWindow="-108" yWindow="-108" windowWidth="23256" windowHeight="12576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73" i="1" l="1"/>
  <c r="L673" i="1"/>
  <c r="K673" i="1"/>
  <c r="J673" i="1"/>
  <c r="I673" i="1"/>
  <c r="H673" i="1"/>
  <c r="G673" i="1"/>
  <c r="D673" i="1"/>
  <c r="C673" i="1"/>
  <c r="M672" i="1"/>
  <c r="L672" i="1"/>
  <c r="K672" i="1"/>
  <c r="J672" i="1"/>
  <c r="I672" i="1"/>
  <c r="H672" i="1"/>
  <c r="G672" i="1"/>
  <c r="D672" i="1"/>
  <c r="C672" i="1"/>
  <c r="M671" i="1"/>
  <c r="L671" i="1"/>
  <c r="K671" i="1"/>
  <c r="J671" i="1"/>
  <c r="I671" i="1"/>
  <c r="H671" i="1"/>
  <c r="G671" i="1"/>
  <c r="D671" i="1"/>
  <c r="C671" i="1"/>
  <c r="M670" i="1"/>
  <c r="L670" i="1"/>
  <c r="K670" i="1"/>
  <c r="J670" i="1"/>
  <c r="I670" i="1"/>
  <c r="H670" i="1"/>
  <c r="G670" i="1"/>
  <c r="D670" i="1"/>
  <c r="C670" i="1"/>
  <c r="M669" i="1"/>
  <c r="L669" i="1"/>
  <c r="K669" i="1"/>
  <c r="J669" i="1"/>
  <c r="I669" i="1"/>
  <c r="H669" i="1"/>
  <c r="G669" i="1"/>
  <c r="D669" i="1"/>
  <c r="C669" i="1"/>
  <c r="M668" i="1"/>
  <c r="L668" i="1"/>
  <c r="K668" i="1"/>
  <c r="J668" i="1"/>
  <c r="I668" i="1"/>
  <c r="H668" i="1"/>
  <c r="G668" i="1"/>
  <c r="D668" i="1"/>
  <c r="C668" i="1"/>
  <c r="M667" i="1"/>
  <c r="L667" i="1"/>
  <c r="K667" i="1"/>
  <c r="J667" i="1"/>
  <c r="I667" i="1"/>
  <c r="H667" i="1"/>
  <c r="G667" i="1"/>
  <c r="D667" i="1"/>
  <c r="C667" i="1"/>
  <c r="M666" i="1"/>
  <c r="L666" i="1"/>
  <c r="K666" i="1"/>
  <c r="J666" i="1"/>
  <c r="I666" i="1"/>
  <c r="H666" i="1"/>
  <c r="G666" i="1"/>
  <c r="D666" i="1"/>
  <c r="C666" i="1"/>
  <c r="M665" i="1"/>
  <c r="L665" i="1"/>
  <c r="K665" i="1"/>
  <c r="J665" i="1"/>
  <c r="I665" i="1"/>
  <c r="H665" i="1"/>
  <c r="G665" i="1"/>
  <c r="D665" i="1"/>
  <c r="C665" i="1"/>
  <c r="M664" i="1"/>
  <c r="L664" i="1"/>
  <c r="K664" i="1"/>
  <c r="J664" i="1"/>
  <c r="I664" i="1"/>
  <c r="H664" i="1"/>
  <c r="G664" i="1"/>
  <c r="D664" i="1"/>
  <c r="C664" i="1"/>
  <c r="M663" i="1"/>
  <c r="L663" i="1"/>
  <c r="K663" i="1"/>
  <c r="J663" i="1"/>
  <c r="I663" i="1"/>
  <c r="H663" i="1"/>
  <c r="G663" i="1"/>
  <c r="D663" i="1"/>
  <c r="C663" i="1"/>
  <c r="M662" i="1"/>
  <c r="L662" i="1"/>
  <c r="K662" i="1"/>
  <c r="J662" i="1"/>
  <c r="I662" i="1"/>
  <c r="H662" i="1"/>
  <c r="G662" i="1"/>
  <c r="D662" i="1"/>
  <c r="C662" i="1"/>
  <c r="M661" i="1"/>
  <c r="L661" i="1"/>
  <c r="K661" i="1"/>
  <c r="J661" i="1"/>
  <c r="I661" i="1"/>
  <c r="H661" i="1"/>
  <c r="G661" i="1"/>
  <c r="D661" i="1"/>
  <c r="C661" i="1"/>
  <c r="M660" i="1"/>
  <c r="L660" i="1"/>
  <c r="K660" i="1"/>
  <c r="J660" i="1"/>
  <c r="I660" i="1"/>
  <c r="H660" i="1"/>
  <c r="G660" i="1"/>
  <c r="D660" i="1"/>
  <c r="C660" i="1"/>
  <c r="M659" i="1"/>
  <c r="L659" i="1"/>
  <c r="K659" i="1"/>
  <c r="J659" i="1"/>
  <c r="I659" i="1"/>
  <c r="H659" i="1"/>
  <c r="G659" i="1"/>
  <c r="D659" i="1"/>
  <c r="C659" i="1"/>
  <c r="M658" i="1"/>
  <c r="L658" i="1"/>
  <c r="K658" i="1"/>
  <c r="J658" i="1"/>
  <c r="I658" i="1"/>
  <c r="H658" i="1"/>
  <c r="G658" i="1"/>
  <c r="D658" i="1"/>
  <c r="C658" i="1"/>
  <c r="M657" i="1"/>
  <c r="L657" i="1"/>
  <c r="K657" i="1"/>
  <c r="J657" i="1"/>
  <c r="I657" i="1"/>
  <c r="H657" i="1"/>
  <c r="G657" i="1"/>
  <c r="D657" i="1"/>
  <c r="C657" i="1"/>
  <c r="M656" i="1"/>
  <c r="L656" i="1"/>
  <c r="K656" i="1"/>
  <c r="J656" i="1"/>
  <c r="I656" i="1"/>
  <c r="H656" i="1"/>
  <c r="G656" i="1"/>
  <c r="D656" i="1"/>
  <c r="C656" i="1"/>
  <c r="M655" i="1"/>
  <c r="L655" i="1"/>
  <c r="K655" i="1"/>
  <c r="J655" i="1"/>
  <c r="I655" i="1"/>
  <c r="H655" i="1"/>
  <c r="G655" i="1"/>
  <c r="D655" i="1"/>
  <c r="C655" i="1"/>
  <c r="M654" i="1"/>
  <c r="L654" i="1"/>
  <c r="K654" i="1"/>
  <c r="J654" i="1"/>
  <c r="I654" i="1"/>
  <c r="H654" i="1"/>
  <c r="G654" i="1"/>
  <c r="D654" i="1"/>
  <c r="C654" i="1"/>
  <c r="M653" i="1"/>
  <c r="L653" i="1"/>
  <c r="K653" i="1"/>
  <c r="J653" i="1"/>
  <c r="I653" i="1"/>
  <c r="H653" i="1"/>
  <c r="G653" i="1"/>
  <c r="D653" i="1"/>
  <c r="C653" i="1"/>
  <c r="M652" i="1"/>
  <c r="L652" i="1"/>
  <c r="K652" i="1"/>
  <c r="J652" i="1"/>
  <c r="I652" i="1"/>
  <c r="H652" i="1"/>
  <c r="G652" i="1"/>
  <c r="D652" i="1"/>
  <c r="C652" i="1"/>
  <c r="M651" i="1"/>
  <c r="L651" i="1"/>
  <c r="K651" i="1"/>
  <c r="J651" i="1"/>
  <c r="I651" i="1"/>
  <c r="H651" i="1"/>
  <c r="G651" i="1"/>
  <c r="D651" i="1"/>
  <c r="C651" i="1"/>
  <c r="M650" i="1"/>
  <c r="L650" i="1"/>
  <c r="K650" i="1"/>
  <c r="J650" i="1"/>
  <c r="I650" i="1"/>
  <c r="H650" i="1"/>
  <c r="G650" i="1"/>
  <c r="D650" i="1"/>
  <c r="C650" i="1"/>
  <c r="M649" i="1"/>
  <c r="L649" i="1"/>
  <c r="K649" i="1"/>
  <c r="J649" i="1"/>
  <c r="I649" i="1"/>
  <c r="H649" i="1"/>
  <c r="G649" i="1"/>
  <c r="D649" i="1"/>
  <c r="C649" i="1"/>
  <c r="M648" i="1"/>
  <c r="L648" i="1"/>
  <c r="K648" i="1"/>
  <c r="J648" i="1"/>
  <c r="I648" i="1"/>
  <c r="H648" i="1"/>
  <c r="G648" i="1"/>
  <c r="D648" i="1"/>
  <c r="C648" i="1"/>
  <c r="M647" i="1"/>
  <c r="L647" i="1"/>
  <c r="K647" i="1"/>
  <c r="J647" i="1"/>
  <c r="I647" i="1"/>
  <c r="H647" i="1"/>
  <c r="G647" i="1"/>
  <c r="D647" i="1"/>
  <c r="C647" i="1"/>
  <c r="M646" i="1"/>
  <c r="L646" i="1"/>
  <c r="K646" i="1"/>
  <c r="J646" i="1"/>
  <c r="I646" i="1"/>
  <c r="H646" i="1"/>
  <c r="G646" i="1"/>
  <c r="D646" i="1"/>
  <c r="C646" i="1"/>
  <c r="M645" i="1"/>
  <c r="L645" i="1"/>
  <c r="K645" i="1"/>
  <c r="J645" i="1"/>
  <c r="I645" i="1"/>
  <c r="H645" i="1"/>
  <c r="G645" i="1"/>
  <c r="D645" i="1"/>
  <c r="C645" i="1"/>
  <c r="M644" i="1"/>
  <c r="L644" i="1"/>
  <c r="K644" i="1"/>
  <c r="J644" i="1"/>
  <c r="I644" i="1"/>
  <c r="H644" i="1"/>
  <c r="G644" i="1"/>
  <c r="D644" i="1"/>
  <c r="C644" i="1"/>
  <c r="M643" i="1"/>
  <c r="L643" i="1"/>
  <c r="K643" i="1"/>
  <c r="J643" i="1"/>
  <c r="I643" i="1"/>
  <c r="H643" i="1"/>
  <c r="G643" i="1"/>
  <c r="D643" i="1"/>
  <c r="C643" i="1"/>
  <c r="M642" i="1"/>
  <c r="L642" i="1"/>
  <c r="K642" i="1"/>
  <c r="J642" i="1"/>
  <c r="I642" i="1"/>
  <c r="H642" i="1"/>
  <c r="G642" i="1"/>
  <c r="D642" i="1"/>
  <c r="C642" i="1"/>
  <c r="M641" i="1"/>
  <c r="L641" i="1"/>
  <c r="K641" i="1"/>
  <c r="J641" i="1"/>
  <c r="I641" i="1"/>
  <c r="H641" i="1"/>
  <c r="G641" i="1"/>
  <c r="D641" i="1"/>
  <c r="C641" i="1"/>
  <c r="M640" i="1"/>
  <c r="L640" i="1"/>
  <c r="K640" i="1"/>
  <c r="J640" i="1"/>
  <c r="I640" i="1"/>
  <c r="H640" i="1"/>
  <c r="G640" i="1"/>
  <c r="D640" i="1"/>
  <c r="C640" i="1"/>
  <c r="M639" i="1"/>
  <c r="L639" i="1"/>
  <c r="K639" i="1"/>
  <c r="J639" i="1"/>
  <c r="I639" i="1"/>
  <c r="H639" i="1"/>
  <c r="G639" i="1"/>
  <c r="D639" i="1"/>
  <c r="C639" i="1"/>
  <c r="M638" i="1"/>
  <c r="L638" i="1"/>
  <c r="K638" i="1"/>
  <c r="J638" i="1"/>
  <c r="I638" i="1"/>
  <c r="H638" i="1"/>
  <c r="G638" i="1"/>
  <c r="D638" i="1"/>
  <c r="C638" i="1"/>
  <c r="M637" i="1"/>
  <c r="L637" i="1"/>
  <c r="K637" i="1"/>
  <c r="J637" i="1"/>
  <c r="I637" i="1"/>
  <c r="H637" i="1"/>
  <c r="G637" i="1"/>
  <c r="D637" i="1"/>
  <c r="C637" i="1"/>
  <c r="M636" i="1"/>
  <c r="L636" i="1"/>
  <c r="K636" i="1"/>
  <c r="J636" i="1"/>
  <c r="I636" i="1"/>
  <c r="H636" i="1"/>
  <c r="G636" i="1"/>
  <c r="D636" i="1"/>
  <c r="C636" i="1"/>
  <c r="M635" i="1"/>
  <c r="L635" i="1"/>
  <c r="K635" i="1"/>
  <c r="J635" i="1"/>
  <c r="I635" i="1"/>
  <c r="H635" i="1"/>
  <c r="G635" i="1"/>
  <c r="D635" i="1"/>
  <c r="C635" i="1"/>
  <c r="M634" i="1"/>
  <c r="L634" i="1"/>
  <c r="K634" i="1"/>
  <c r="J634" i="1"/>
  <c r="I634" i="1"/>
  <c r="H634" i="1"/>
  <c r="G634" i="1"/>
  <c r="D634" i="1"/>
  <c r="C634" i="1"/>
  <c r="M633" i="1"/>
  <c r="L633" i="1"/>
  <c r="K633" i="1"/>
  <c r="J633" i="1"/>
  <c r="I633" i="1"/>
  <c r="H633" i="1"/>
  <c r="G633" i="1"/>
  <c r="D633" i="1"/>
  <c r="C633" i="1"/>
  <c r="M632" i="1"/>
  <c r="L632" i="1"/>
  <c r="K632" i="1"/>
  <c r="J632" i="1"/>
  <c r="I632" i="1"/>
  <c r="H632" i="1"/>
  <c r="G632" i="1"/>
  <c r="D632" i="1"/>
  <c r="C632" i="1"/>
  <c r="M631" i="1"/>
  <c r="L631" i="1"/>
  <c r="K631" i="1"/>
  <c r="J631" i="1"/>
  <c r="I631" i="1"/>
  <c r="H631" i="1"/>
  <c r="G631" i="1"/>
  <c r="D631" i="1"/>
  <c r="C631" i="1"/>
  <c r="M630" i="1"/>
  <c r="L630" i="1"/>
  <c r="K630" i="1"/>
  <c r="J630" i="1"/>
  <c r="I630" i="1"/>
  <c r="H630" i="1"/>
  <c r="G630" i="1"/>
  <c r="D630" i="1"/>
  <c r="C630" i="1"/>
  <c r="M629" i="1"/>
  <c r="L629" i="1"/>
  <c r="K629" i="1"/>
  <c r="J629" i="1"/>
  <c r="I629" i="1"/>
  <c r="H629" i="1"/>
  <c r="G629" i="1"/>
  <c r="D629" i="1"/>
  <c r="C629" i="1"/>
  <c r="M628" i="1"/>
  <c r="L628" i="1"/>
  <c r="K628" i="1"/>
  <c r="J628" i="1"/>
  <c r="I628" i="1"/>
  <c r="H628" i="1"/>
  <c r="G628" i="1"/>
  <c r="D628" i="1"/>
  <c r="C628" i="1"/>
  <c r="M627" i="1"/>
  <c r="L627" i="1"/>
  <c r="K627" i="1"/>
  <c r="J627" i="1"/>
  <c r="I627" i="1"/>
  <c r="H627" i="1"/>
  <c r="G627" i="1"/>
  <c r="D627" i="1"/>
  <c r="C627" i="1"/>
  <c r="M626" i="1"/>
  <c r="L626" i="1"/>
  <c r="K626" i="1"/>
  <c r="J626" i="1"/>
  <c r="I626" i="1"/>
  <c r="H626" i="1"/>
  <c r="G626" i="1"/>
  <c r="D626" i="1"/>
  <c r="C626" i="1"/>
  <c r="M625" i="1"/>
  <c r="L625" i="1"/>
  <c r="K625" i="1"/>
  <c r="J625" i="1"/>
  <c r="I625" i="1"/>
  <c r="H625" i="1"/>
  <c r="G625" i="1"/>
  <c r="D625" i="1"/>
  <c r="C625" i="1"/>
  <c r="M624" i="1"/>
  <c r="L624" i="1"/>
  <c r="K624" i="1"/>
  <c r="J624" i="1"/>
  <c r="I624" i="1"/>
  <c r="H624" i="1"/>
  <c r="G624" i="1"/>
  <c r="D624" i="1"/>
  <c r="C624" i="1"/>
  <c r="M623" i="1"/>
  <c r="L623" i="1"/>
  <c r="K623" i="1"/>
  <c r="J623" i="1"/>
  <c r="I623" i="1"/>
  <c r="H623" i="1"/>
  <c r="G623" i="1"/>
  <c r="D623" i="1"/>
  <c r="C623" i="1"/>
  <c r="M622" i="1"/>
  <c r="L622" i="1"/>
  <c r="K622" i="1"/>
  <c r="J622" i="1"/>
  <c r="I622" i="1"/>
  <c r="H622" i="1"/>
  <c r="G622" i="1"/>
  <c r="D622" i="1"/>
  <c r="C622" i="1"/>
  <c r="M621" i="1"/>
  <c r="L621" i="1"/>
  <c r="K621" i="1"/>
  <c r="J621" i="1"/>
  <c r="I621" i="1"/>
  <c r="H621" i="1"/>
  <c r="G621" i="1"/>
  <c r="D621" i="1"/>
  <c r="C621" i="1"/>
  <c r="M620" i="1"/>
  <c r="L620" i="1"/>
  <c r="K620" i="1"/>
  <c r="J620" i="1"/>
  <c r="I620" i="1"/>
  <c r="H620" i="1"/>
  <c r="G620" i="1"/>
  <c r="D620" i="1"/>
  <c r="C620" i="1"/>
  <c r="M619" i="1"/>
  <c r="L619" i="1"/>
  <c r="K619" i="1"/>
  <c r="J619" i="1"/>
  <c r="I619" i="1"/>
  <c r="H619" i="1"/>
  <c r="G619" i="1"/>
  <c r="D619" i="1"/>
  <c r="C619" i="1"/>
  <c r="M618" i="1"/>
  <c r="L618" i="1"/>
  <c r="K618" i="1"/>
  <c r="J618" i="1"/>
  <c r="I618" i="1"/>
  <c r="H618" i="1"/>
  <c r="G618" i="1"/>
  <c r="D618" i="1"/>
  <c r="C618" i="1"/>
  <c r="M617" i="1"/>
  <c r="L617" i="1"/>
  <c r="K617" i="1"/>
  <c r="J617" i="1"/>
  <c r="I617" i="1"/>
  <c r="H617" i="1"/>
  <c r="G617" i="1"/>
  <c r="D617" i="1"/>
  <c r="C617" i="1"/>
  <c r="M616" i="1"/>
  <c r="L616" i="1"/>
  <c r="K616" i="1"/>
  <c r="J616" i="1"/>
  <c r="I616" i="1"/>
  <c r="H616" i="1"/>
  <c r="G616" i="1"/>
  <c r="D616" i="1"/>
  <c r="C616" i="1"/>
  <c r="M615" i="1"/>
  <c r="L615" i="1"/>
  <c r="K615" i="1"/>
  <c r="J615" i="1"/>
  <c r="I615" i="1"/>
  <c r="H615" i="1"/>
  <c r="G615" i="1"/>
  <c r="D615" i="1"/>
  <c r="C615" i="1"/>
  <c r="M614" i="1"/>
  <c r="L614" i="1"/>
  <c r="K614" i="1"/>
  <c r="J614" i="1"/>
  <c r="I614" i="1"/>
  <c r="H614" i="1"/>
  <c r="G614" i="1"/>
  <c r="D614" i="1"/>
  <c r="C614" i="1"/>
  <c r="M613" i="1"/>
  <c r="L613" i="1"/>
  <c r="K613" i="1"/>
  <c r="J613" i="1"/>
  <c r="I613" i="1"/>
  <c r="H613" i="1"/>
  <c r="G613" i="1"/>
  <c r="D613" i="1"/>
  <c r="C613" i="1"/>
  <c r="M612" i="1"/>
  <c r="L612" i="1"/>
  <c r="K612" i="1"/>
  <c r="J612" i="1"/>
  <c r="I612" i="1"/>
  <c r="H612" i="1"/>
  <c r="G612" i="1"/>
  <c r="D612" i="1"/>
  <c r="C612" i="1"/>
  <c r="M611" i="1"/>
  <c r="L611" i="1"/>
  <c r="K611" i="1"/>
  <c r="J611" i="1"/>
  <c r="I611" i="1"/>
  <c r="H611" i="1"/>
  <c r="G611" i="1"/>
  <c r="D611" i="1"/>
  <c r="C611" i="1"/>
  <c r="M610" i="1"/>
  <c r="L610" i="1"/>
  <c r="K610" i="1"/>
  <c r="J610" i="1"/>
  <c r="I610" i="1"/>
  <c r="H610" i="1"/>
  <c r="G610" i="1"/>
  <c r="D610" i="1"/>
  <c r="C610" i="1"/>
  <c r="M609" i="1"/>
  <c r="L609" i="1"/>
  <c r="K609" i="1"/>
  <c r="J609" i="1"/>
  <c r="I609" i="1"/>
  <c r="H609" i="1"/>
  <c r="G609" i="1"/>
  <c r="D609" i="1"/>
  <c r="C609" i="1"/>
  <c r="M608" i="1"/>
  <c r="L608" i="1"/>
  <c r="K608" i="1"/>
  <c r="J608" i="1"/>
  <c r="I608" i="1"/>
  <c r="H608" i="1"/>
  <c r="G608" i="1"/>
  <c r="D608" i="1"/>
  <c r="C608" i="1"/>
  <c r="M607" i="1"/>
  <c r="L607" i="1"/>
  <c r="K607" i="1"/>
  <c r="J607" i="1"/>
  <c r="I607" i="1"/>
  <c r="H607" i="1"/>
  <c r="G607" i="1"/>
  <c r="D607" i="1"/>
  <c r="C607" i="1"/>
  <c r="M606" i="1"/>
  <c r="L606" i="1"/>
  <c r="K606" i="1"/>
  <c r="J606" i="1"/>
  <c r="I606" i="1"/>
  <c r="H606" i="1"/>
  <c r="G606" i="1"/>
  <c r="D606" i="1"/>
  <c r="C606" i="1"/>
  <c r="M605" i="1"/>
  <c r="L605" i="1"/>
  <c r="K605" i="1"/>
  <c r="J605" i="1"/>
  <c r="I605" i="1"/>
  <c r="H605" i="1"/>
  <c r="G605" i="1"/>
  <c r="D605" i="1"/>
  <c r="C605" i="1"/>
  <c r="M604" i="1"/>
  <c r="L604" i="1"/>
  <c r="K604" i="1"/>
  <c r="J604" i="1"/>
  <c r="I604" i="1"/>
  <c r="H604" i="1"/>
  <c r="G604" i="1"/>
  <c r="D604" i="1"/>
  <c r="C604" i="1"/>
  <c r="M603" i="1"/>
  <c r="L603" i="1"/>
  <c r="K603" i="1"/>
  <c r="J603" i="1"/>
  <c r="I603" i="1"/>
  <c r="H603" i="1"/>
  <c r="G603" i="1"/>
  <c r="D603" i="1"/>
  <c r="C603" i="1"/>
  <c r="M602" i="1"/>
  <c r="L602" i="1"/>
  <c r="K602" i="1"/>
  <c r="J602" i="1"/>
  <c r="I602" i="1"/>
  <c r="H602" i="1"/>
  <c r="G602" i="1"/>
  <c r="D602" i="1"/>
  <c r="C602" i="1"/>
  <c r="M601" i="1"/>
  <c r="L601" i="1"/>
  <c r="K601" i="1"/>
  <c r="J601" i="1"/>
  <c r="I601" i="1"/>
  <c r="H601" i="1"/>
  <c r="G601" i="1"/>
  <c r="D601" i="1"/>
  <c r="C601" i="1"/>
  <c r="M600" i="1"/>
  <c r="L600" i="1"/>
  <c r="K600" i="1"/>
  <c r="J600" i="1"/>
  <c r="I600" i="1"/>
  <c r="H600" i="1"/>
  <c r="G600" i="1"/>
  <c r="D600" i="1"/>
  <c r="C600" i="1"/>
  <c r="M599" i="1"/>
  <c r="L599" i="1"/>
  <c r="K599" i="1"/>
  <c r="J599" i="1"/>
  <c r="I599" i="1"/>
  <c r="H599" i="1"/>
  <c r="G599" i="1"/>
  <c r="D599" i="1"/>
  <c r="C599" i="1"/>
  <c r="M598" i="1"/>
  <c r="L598" i="1"/>
  <c r="K598" i="1"/>
  <c r="J598" i="1"/>
  <c r="I598" i="1"/>
  <c r="H598" i="1"/>
  <c r="G598" i="1"/>
  <c r="D598" i="1"/>
  <c r="C598" i="1"/>
  <c r="M597" i="1"/>
  <c r="L597" i="1"/>
  <c r="K597" i="1"/>
  <c r="J597" i="1"/>
  <c r="I597" i="1"/>
  <c r="H597" i="1"/>
  <c r="G597" i="1"/>
  <c r="D597" i="1"/>
  <c r="C597" i="1"/>
  <c r="M596" i="1"/>
  <c r="L596" i="1"/>
  <c r="K596" i="1"/>
  <c r="J596" i="1"/>
  <c r="I596" i="1"/>
  <c r="H596" i="1"/>
  <c r="G596" i="1"/>
  <c r="D596" i="1"/>
  <c r="C596" i="1"/>
  <c r="M595" i="1"/>
  <c r="L595" i="1"/>
  <c r="K595" i="1"/>
  <c r="J595" i="1"/>
  <c r="I595" i="1"/>
  <c r="H595" i="1"/>
  <c r="G595" i="1"/>
  <c r="D595" i="1"/>
  <c r="C595" i="1"/>
  <c r="M594" i="1"/>
  <c r="L594" i="1"/>
  <c r="K594" i="1"/>
  <c r="J594" i="1"/>
  <c r="I594" i="1"/>
  <c r="H594" i="1"/>
  <c r="G594" i="1"/>
  <c r="D594" i="1"/>
  <c r="C594" i="1"/>
  <c r="M593" i="1"/>
  <c r="L593" i="1"/>
  <c r="K593" i="1"/>
  <c r="J593" i="1"/>
  <c r="I593" i="1"/>
  <c r="H593" i="1"/>
  <c r="G593" i="1"/>
  <c r="D593" i="1"/>
  <c r="C593" i="1"/>
  <c r="M592" i="1"/>
  <c r="L592" i="1"/>
  <c r="K592" i="1"/>
  <c r="J592" i="1"/>
  <c r="I592" i="1"/>
  <c r="H592" i="1"/>
  <c r="G592" i="1"/>
  <c r="D592" i="1"/>
  <c r="C592" i="1"/>
  <c r="M591" i="1"/>
  <c r="L591" i="1"/>
  <c r="K591" i="1"/>
  <c r="J591" i="1"/>
  <c r="I591" i="1"/>
  <c r="H591" i="1"/>
  <c r="G591" i="1"/>
  <c r="D591" i="1"/>
  <c r="C591" i="1"/>
  <c r="M590" i="1"/>
  <c r="L590" i="1"/>
  <c r="K590" i="1"/>
  <c r="J590" i="1"/>
  <c r="I590" i="1"/>
  <c r="H590" i="1"/>
  <c r="G590" i="1"/>
  <c r="D590" i="1"/>
  <c r="C590" i="1"/>
  <c r="M589" i="1"/>
  <c r="L589" i="1"/>
  <c r="K589" i="1"/>
  <c r="J589" i="1"/>
  <c r="I589" i="1"/>
  <c r="H589" i="1"/>
  <c r="G589" i="1"/>
  <c r="D589" i="1"/>
  <c r="C589" i="1"/>
  <c r="M588" i="1"/>
  <c r="L588" i="1"/>
  <c r="K588" i="1"/>
  <c r="J588" i="1"/>
  <c r="I588" i="1"/>
  <c r="H588" i="1"/>
  <c r="G588" i="1"/>
  <c r="D588" i="1"/>
  <c r="C588" i="1"/>
  <c r="M587" i="1"/>
  <c r="L587" i="1"/>
  <c r="K587" i="1"/>
  <c r="J587" i="1"/>
  <c r="I587" i="1"/>
  <c r="H587" i="1"/>
  <c r="G587" i="1"/>
  <c r="D587" i="1"/>
  <c r="C587" i="1"/>
  <c r="M586" i="1"/>
  <c r="L586" i="1"/>
  <c r="K586" i="1"/>
  <c r="J586" i="1"/>
  <c r="I586" i="1"/>
  <c r="H586" i="1"/>
  <c r="G586" i="1"/>
  <c r="D586" i="1"/>
  <c r="C586" i="1"/>
  <c r="M585" i="1"/>
  <c r="L585" i="1"/>
  <c r="K585" i="1"/>
  <c r="J585" i="1"/>
  <c r="I585" i="1"/>
  <c r="H585" i="1"/>
  <c r="G585" i="1"/>
  <c r="D585" i="1"/>
  <c r="C585" i="1"/>
  <c r="M584" i="1"/>
  <c r="L584" i="1"/>
  <c r="K584" i="1"/>
  <c r="J584" i="1"/>
  <c r="I584" i="1"/>
  <c r="H584" i="1"/>
  <c r="G584" i="1"/>
  <c r="D584" i="1"/>
  <c r="C584" i="1"/>
  <c r="M583" i="1"/>
  <c r="L583" i="1"/>
  <c r="K583" i="1"/>
  <c r="J583" i="1"/>
  <c r="I583" i="1"/>
  <c r="H583" i="1"/>
  <c r="G583" i="1"/>
  <c r="D583" i="1"/>
  <c r="C583" i="1"/>
  <c r="M582" i="1"/>
  <c r="L582" i="1"/>
  <c r="K582" i="1"/>
  <c r="J582" i="1"/>
  <c r="I582" i="1"/>
  <c r="H582" i="1"/>
  <c r="G582" i="1"/>
  <c r="D582" i="1"/>
  <c r="C582" i="1"/>
  <c r="M581" i="1"/>
  <c r="L581" i="1"/>
  <c r="K581" i="1"/>
  <c r="J581" i="1"/>
  <c r="I581" i="1"/>
  <c r="H581" i="1"/>
  <c r="G581" i="1"/>
  <c r="D581" i="1"/>
  <c r="C581" i="1"/>
  <c r="M580" i="1"/>
  <c r="L580" i="1"/>
  <c r="K580" i="1"/>
  <c r="J580" i="1"/>
  <c r="I580" i="1"/>
  <c r="H580" i="1"/>
  <c r="G580" i="1"/>
  <c r="D580" i="1"/>
  <c r="C580" i="1"/>
  <c r="M579" i="1"/>
  <c r="L579" i="1"/>
  <c r="K579" i="1"/>
  <c r="J579" i="1"/>
  <c r="I579" i="1"/>
  <c r="H579" i="1"/>
  <c r="G579" i="1"/>
  <c r="D579" i="1"/>
  <c r="C579" i="1"/>
  <c r="M578" i="1"/>
  <c r="L578" i="1"/>
  <c r="K578" i="1"/>
  <c r="J578" i="1"/>
  <c r="I578" i="1"/>
  <c r="H578" i="1"/>
  <c r="G578" i="1"/>
  <c r="D578" i="1"/>
  <c r="C578" i="1"/>
  <c r="M577" i="1"/>
  <c r="L577" i="1"/>
  <c r="K577" i="1"/>
  <c r="J577" i="1"/>
  <c r="I577" i="1"/>
  <c r="H577" i="1"/>
  <c r="G577" i="1"/>
  <c r="D577" i="1"/>
  <c r="C577" i="1"/>
  <c r="M576" i="1"/>
  <c r="L576" i="1"/>
  <c r="K576" i="1"/>
  <c r="J576" i="1"/>
  <c r="I576" i="1"/>
  <c r="H576" i="1"/>
  <c r="G576" i="1"/>
  <c r="D576" i="1"/>
  <c r="C576" i="1"/>
  <c r="M575" i="1"/>
  <c r="L575" i="1"/>
  <c r="K575" i="1"/>
  <c r="J575" i="1"/>
  <c r="I575" i="1"/>
  <c r="H575" i="1"/>
  <c r="G575" i="1"/>
  <c r="D575" i="1"/>
  <c r="C575" i="1"/>
  <c r="M574" i="1"/>
  <c r="L574" i="1"/>
  <c r="K574" i="1"/>
  <c r="J574" i="1"/>
  <c r="I574" i="1"/>
  <c r="H574" i="1"/>
  <c r="G574" i="1"/>
  <c r="D574" i="1"/>
  <c r="C574" i="1"/>
  <c r="M573" i="1"/>
  <c r="L573" i="1"/>
  <c r="K573" i="1"/>
  <c r="J573" i="1"/>
  <c r="I573" i="1"/>
  <c r="H573" i="1"/>
  <c r="G573" i="1"/>
  <c r="D573" i="1"/>
  <c r="C573" i="1"/>
  <c r="M572" i="1"/>
  <c r="L572" i="1"/>
  <c r="K572" i="1"/>
  <c r="J572" i="1"/>
  <c r="I572" i="1"/>
  <c r="H572" i="1"/>
  <c r="G572" i="1"/>
  <c r="D572" i="1"/>
  <c r="C572" i="1"/>
  <c r="M571" i="1"/>
  <c r="L571" i="1"/>
  <c r="K571" i="1"/>
  <c r="J571" i="1"/>
  <c r="I571" i="1"/>
  <c r="H571" i="1"/>
  <c r="G571" i="1"/>
  <c r="D571" i="1"/>
  <c r="C571" i="1"/>
  <c r="M570" i="1"/>
  <c r="L570" i="1"/>
  <c r="K570" i="1"/>
  <c r="J570" i="1"/>
  <c r="I570" i="1"/>
  <c r="H570" i="1"/>
  <c r="G570" i="1"/>
  <c r="D570" i="1"/>
  <c r="C570" i="1"/>
  <c r="M569" i="1"/>
  <c r="L569" i="1"/>
  <c r="K569" i="1"/>
  <c r="J569" i="1"/>
  <c r="I569" i="1"/>
  <c r="H569" i="1"/>
  <c r="G569" i="1"/>
  <c r="D569" i="1"/>
  <c r="C569" i="1"/>
  <c r="M568" i="1"/>
  <c r="L568" i="1"/>
  <c r="K568" i="1"/>
  <c r="J568" i="1"/>
  <c r="I568" i="1"/>
  <c r="H568" i="1"/>
  <c r="G568" i="1"/>
  <c r="D568" i="1"/>
  <c r="C568" i="1"/>
  <c r="M567" i="1"/>
  <c r="L567" i="1"/>
  <c r="K567" i="1"/>
  <c r="J567" i="1"/>
  <c r="I567" i="1"/>
  <c r="H567" i="1"/>
  <c r="G567" i="1"/>
  <c r="D567" i="1"/>
  <c r="C567" i="1"/>
  <c r="M566" i="1"/>
  <c r="L566" i="1"/>
  <c r="K566" i="1"/>
  <c r="J566" i="1"/>
  <c r="I566" i="1"/>
  <c r="H566" i="1"/>
  <c r="G566" i="1"/>
  <c r="D566" i="1"/>
  <c r="C566" i="1"/>
  <c r="M565" i="1"/>
  <c r="L565" i="1"/>
  <c r="K565" i="1"/>
  <c r="J565" i="1"/>
  <c r="I565" i="1"/>
  <c r="H565" i="1"/>
  <c r="G565" i="1"/>
  <c r="D565" i="1"/>
  <c r="C565" i="1"/>
  <c r="M564" i="1"/>
  <c r="L564" i="1"/>
  <c r="K564" i="1"/>
  <c r="J564" i="1"/>
  <c r="I564" i="1"/>
  <c r="H564" i="1"/>
  <c r="G564" i="1"/>
  <c r="D564" i="1"/>
  <c r="C564" i="1"/>
  <c r="M563" i="1"/>
  <c r="L563" i="1"/>
  <c r="K563" i="1"/>
  <c r="J563" i="1"/>
  <c r="I563" i="1"/>
  <c r="H563" i="1"/>
  <c r="G563" i="1"/>
  <c r="D563" i="1"/>
  <c r="C563" i="1"/>
  <c r="M562" i="1"/>
  <c r="L562" i="1"/>
  <c r="K562" i="1"/>
  <c r="J562" i="1"/>
  <c r="I562" i="1"/>
  <c r="H562" i="1"/>
  <c r="G562" i="1"/>
  <c r="D562" i="1"/>
  <c r="C562" i="1"/>
  <c r="M561" i="1"/>
  <c r="L561" i="1"/>
  <c r="K561" i="1"/>
  <c r="J561" i="1"/>
  <c r="I561" i="1"/>
  <c r="H561" i="1"/>
  <c r="G561" i="1"/>
  <c r="D561" i="1"/>
  <c r="C561" i="1"/>
  <c r="M560" i="1"/>
  <c r="L560" i="1"/>
  <c r="K560" i="1"/>
  <c r="J560" i="1"/>
  <c r="I560" i="1"/>
  <c r="H560" i="1"/>
  <c r="G560" i="1"/>
  <c r="D560" i="1"/>
  <c r="C560" i="1"/>
  <c r="M559" i="1"/>
  <c r="L559" i="1"/>
  <c r="K559" i="1"/>
  <c r="J559" i="1"/>
  <c r="I559" i="1"/>
  <c r="H559" i="1"/>
  <c r="G559" i="1"/>
  <c r="D559" i="1"/>
  <c r="C559" i="1"/>
  <c r="M558" i="1"/>
  <c r="L558" i="1"/>
  <c r="K558" i="1"/>
  <c r="J558" i="1"/>
  <c r="I558" i="1"/>
  <c r="H558" i="1"/>
  <c r="G558" i="1"/>
  <c r="D558" i="1"/>
  <c r="C558" i="1"/>
  <c r="M557" i="1"/>
  <c r="L557" i="1"/>
  <c r="K557" i="1"/>
  <c r="J557" i="1"/>
  <c r="I557" i="1"/>
  <c r="H557" i="1"/>
  <c r="G557" i="1"/>
  <c r="D557" i="1"/>
  <c r="C557" i="1"/>
  <c r="M556" i="1"/>
  <c r="L556" i="1"/>
  <c r="K556" i="1"/>
  <c r="J556" i="1"/>
  <c r="I556" i="1"/>
  <c r="H556" i="1"/>
  <c r="G556" i="1"/>
  <c r="D556" i="1"/>
  <c r="C556" i="1"/>
  <c r="M555" i="1"/>
  <c r="L555" i="1"/>
  <c r="K555" i="1"/>
  <c r="J555" i="1"/>
  <c r="I555" i="1"/>
  <c r="H555" i="1"/>
  <c r="G555" i="1"/>
  <c r="D555" i="1"/>
  <c r="C555" i="1"/>
  <c r="M554" i="1"/>
  <c r="L554" i="1"/>
  <c r="K554" i="1"/>
  <c r="J554" i="1"/>
  <c r="I554" i="1"/>
  <c r="H554" i="1"/>
  <c r="G554" i="1"/>
  <c r="D554" i="1"/>
  <c r="C554" i="1"/>
  <c r="M553" i="1"/>
  <c r="L553" i="1"/>
  <c r="K553" i="1"/>
  <c r="J553" i="1"/>
  <c r="I553" i="1"/>
  <c r="H553" i="1"/>
  <c r="G553" i="1"/>
  <c r="D553" i="1"/>
  <c r="C553" i="1"/>
  <c r="M552" i="1"/>
  <c r="L552" i="1"/>
  <c r="K552" i="1"/>
  <c r="J552" i="1"/>
  <c r="I552" i="1"/>
  <c r="H552" i="1"/>
  <c r="G552" i="1"/>
  <c r="D552" i="1"/>
  <c r="C552" i="1"/>
  <c r="M551" i="1"/>
  <c r="L551" i="1"/>
  <c r="K551" i="1"/>
  <c r="J551" i="1"/>
  <c r="I551" i="1"/>
  <c r="H551" i="1"/>
  <c r="G551" i="1"/>
  <c r="D551" i="1"/>
  <c r="C551" i="1"/>
  <c r="M550" i="1"/>
  <c r="L550" i="1"/>
  <c r="K550" i="1"/>
  <c r="J550" i="1"/>
  <c r="I550" i="1"/>
  <c r="H550" i="1"/>
  <c r="G550" i="1"/>
  <c r="D550" i="1"/>
  <c r="C550" i="1"/>
  <c r="M549" i="1"/>
  <c r="L549" i="1"/>
  <c r="K549" i="1"/>
  <c r="J549" i="1"/>
  <c r="I549" i="1"/>
  <c r="H549" i="1"/>
  <c r="G549" i="1"/>
  <c r="D549" i="1"/>
  <c r="C549" i="1"/>
  <c r="M548" i="1"/>
  <c r="L548" i="1"/>
  <c r="K548" i="1"/>
  <c r="J548" i="1"/>
  <c r="I548" i="1"/>
  <c r="H548" i="1"/>
  <c r="G548" i="1"/>
  <c r="D548" i="1"/>
  <c r="C548" i="1"/>
  <c r="M547" i="1"/>
  <c r="L547" i="1"/>
  <c r="K547" i="1"/>
  <c r="J547" i="1"/>
  <c r="I547" i="1"/>
  <c r="H547" i="1"/>
  <c r="G547" i="1"/>
  <c r="D547" i="1"/>
  <c r="C547" i="1"/>
  <c r="M546" i="1"/>
  <c r="L546" i="1"/>
  <c r="K546" i="1"/>
  <c r="J546" i="1"/>
  <c r="I546" i="1"/>
  <c r="H546" i="1"/>
  <c r="G546" i="1"/>
  <c r="D546" i="1"/>
  <c r="C546" i="1"/>
  <c r="M545" i="1"/>
  <c r="L545" i="1"/>
  <c r="K545" i="1"/>
  <c r="J545" i="1"/>
  <c r="I545" i="1"/>
  <c r="H545" i="1"/>
  <c r="G545" i="1"/>
  <c r="D545" i="1"/>
  <c r="C545" i="1"/>
  <c r="M544" i="1"/>
  <c r="L544" i="1"/>
  <c r="K544" i="1"/>
  <c r="J544" i="1"/>
  <c r="I544" i="1"/>
  <c r="H544" i="1"/>
  <c r="G544" i="1"/>
  <c r="D544" i="1"/>
  <c r="C544" i="1"/>
  <c r="M543" i="1"/>
  <c r="L543" i="1"/>
  <c r="K543" i="1"/>
  <c r="J543" i="1"/>
  <c r="I543" i="1"/>
  <c r="H543" i="1"/>
  <c r="G543" i="1"/>
  <c r="D543" i="1"/>
  <c r="C543" i="1"/>
  <c r="M542" i="1"/>
  <c r="L542" i="1"/>
  <c r="K542" i="1"/>
  <c r="J542" i="1"/>
  <c r="I542" i="1"/>
  <c r="H542" i="1"/>
  <c r="G542" i="1"/>
  <c r="D542" i="1"/>
  <c r="C542" i="1"/>
  <c r="M541" i="1"/>
  <c r="L541" i="1"/>
  <c r="K541" i="1"/>
  <c r="J541" i="1"/>
  <c r="I541" i="1"/>
  <c r="H541" i="1"/>
  <c r="G541" i="1"/>
  <c r="D541" i="1"/>
  <c r="C541" i="1"/>
  <c r="M540" i="1"/>
  <c r="L540" i="1"/>
  <c r="K540" i="1"/>
  <c r="J540" i="1"/>
  <c r="I540" i="1"/>
  <c r="H540" i="1"/>
  <c r="G540" i="1"/>
  <c r="D540" i="1"/>
  <c r="C540" i="1"/>
  <c r="M539" i="1"/>
  <c r="L539" i="1"/>
  <c r="K539" i="1"/>
  <c r="J539" i="1"/>
  <c r="I539" i="1"/>
  <c r="H539" i="1"/>
  <c r="G539" i="1"/>
  <c r="D539" i="1"/>
  <c r="C539" i="1"/>
  <c r="M538" i="1"/>
  <c r="L538" i="1"/>
  <c r="K538" i="1"/>
  <c r="J538" i="1"/>
  <c r="I538" i="1"/>
  <c r="H538" i="1"/>
  <c r="G538" i="1"/>
  <c r="D538" i="1"/>
  <c r="C538" i="1"/>
  <c r="M537" i="1"/>
  <c r="L537" i="1"/>
  <c r="K537" i="1"/>
  <c r="J537" i="1"/>
  <c r="I537" i="1"/>
  <c r="H537" i="1"/>
  <c r="G537" i="1"/>
  <c r="D537" i="1"/>
  <c r="C537" i="1"/>
  <c r="M536" i="1"/>
  <c r="L536" i="1"/>
  <c r="K536" i="1"/>
  <c r="J536" i="1"/>
  <c r="I536" i="1"/>
  <c r="H536" i="1"/>
  <c r="G536" i="1"/>
  <c r="D536" i="1"/>
  <c r="C536" i="1"/>
  <c r="M535" i="1"/>
  <c r="L535" i="1"/>
  <c r="K535" i="1"/>
  <c r="J535" i="1"/>
  <c r="I535" i="1"/>
  <c r="H535" i="1"/>
  <c r="G535" i="1"/>
  <c r="D535" i="1"/>
  <c r="C535" i="1"/>
  <c r="M534" i="1"/>
  <c r="L534" i="1"/>
  <c r="K534" i="1"/>
  <c r="J534" i="1"/>
  <c r="I534" i="1"/>
  <c r="H534" i="1"/>
  <c r="G534" i="1"/>
  <c r="D534" i="1"/>
  <c r="C534" i="1"/>
  <c r="M533" i="1"/>
  <c r="L533" i="1"/>
  <c r="K533" i="1"/>
  <c r="J533" i="1"/>
  <c r="I533" i="1"/>
  <c r="H533" i="1"/>
  <c r="G533" i="1"/>
  <c r="D533" i="1"/>
  <c r="C533" i="1"/>
  <c r="M532" i="1"/>
  <c r="L532" i="1"/>
  <c r="K532" i="1"/>
  <c r="J532" i="1"/>
  <c r="I532" i="1"/>
  <c r="H532" i="1"/>
  <c r="G532" i="1"/>
  <c r="D532" i="1"/>
  <c r="C532" i="1"/>
  <c r="M531" i="1"/>
  <c r="L531" i="1"/>
  <c r="K531" i="1"/>
  <c r="J531" i="1"/>
  <c r="I531" i="1"/>
  <c r="H531" i="1"/>
  <c r="G531" i="1"/>
  <c r="D531" i="1"/>
  <c r="C531" i="1"/>
  <c r="M530" i="1"/>
  <c r="L530" i="1"/>
  <c r="K530" i="1"/>
  <c r="J530" i="1"/>
  <c r="I530" i="1"/>
  <c r="H530" i="1"/>
  <c r="G530" i="1"/>
  <c r="D530" i="1"/>
  <c r="C530" i="1"/>
  <c r="M529" i="1"/>
  <c r="L529" i="1"/>
  <c r="K529" i="1"/>
  <c r="J529" i="1"/>
  <c r="I529" i="1"/>
  <c r="H529" i="1"/>
  <c r="G529" i="1"/>
  <c r="D529" i="1"/>
  <c r="C529" i="1"/>
  <c r="M528" i="1"/>
  <c r="L528" i="1"/>
  <c r="K528" i="1"/>
  <c r="J528" i="1"/>
  <c r="I528" i="1"/>
  <c r="H528" i="1"/>
  <c r="G528" i="1"/>
  <c r="D528" i="1"/>
  <c r="C528" i="1"/>
  <c r="M527" i="1"/>
  <c r="L527" i="1"/>
  <c r="K527" i="1"/>
  <c r="J527" i="1"/>
  <c r="I527" i="1"/>
  <c r="H527" i="1"/>
  <c r="G527" i="1"/>
  <c r="D527" i="1"/>
  <c r="C527" i="1"/>
  <c r="M526" i="1"/>
  <c r="L526" i="1"/>
  <c r="K526" i="1"/>
  <c r="J526" i="1"/>
  <c r="I526" i="1"/>
  <c r="H526" i="1"/>
  <c r="G526" i="1"/>
  <c r="D526" i="1"/>
  <c r="C526" i="1"/>
  <c r="M525" i="1"/>
  <c r="L525" i="1"/>
  <c r="K525" i="1"/>
  <c r="J525" i="1"/>
  <c r="I525" i="1"/>
  <c r="H525" i="1"/>
  <c r="G525" i="1"/>
  <c r="D525" i="1"/>
  <c r="C525" i="1"/>
  <c r="M524" i="1"/>
  <c r="L524" i="1"/>
  <c r="K524" i="1"/>
  <c r="J524" i="1"/>
  <c r="I524" i="1"/>
  <c r="H524" i="1"/>
  <c r="G524" i="1"/>
  <c r="D524" i="1"/>
  <c r="C524" i="1"/>
  <c r="M523" i="1"/>
  <c r="L523" i="1"/>
  <c r="K523" i="1"/>
  <c r="J523" i="1"/>
  <c r="I523" i="1"/>
  <c r="H523" i="1"/>
  <c r="G523" i="1"/>
  <c r="D523" i="1"/>
  <c r="C523" i="1"/>
  <c r="M522" i="1"/>
  <c r="L522" i="1"/>
  <c r="K522" i="1"/>
  <c r="J522" i="1"/>
  <c r="I522" i="1"/>
  <c r="H522" i="1"/>
  <c r="G522" i="1"/>
  <c r="D522" i="1"/>
  <c r="C522" i="1"/>
  <c r="M521" i="1"/>
  <c r="L521" i="1"/>
  <c r="K521" i="1"/>
  <c r="J521" i="1"/>
  <c r="I521" i="1"/>
  <c r="H521" i="1"/>
  <c r="G521" i="1"/>
  <c r="D521" i="1"/>
  <c r="C521" i="1"/>
  <c r="M520" i="1"/>
  <c r="L520" i="1"/>
  <c r="K520" i="1"/>
  <c r="J520" i="1"/>
  <c r="I520" i="1"/>
  <c r="H520" i="1"/>
  <c r="G520" i="1"/>
  <c r="D520" i="1"/>
  <c r="C520" i="1"/>
  <c r="M519" i="1"/>
  <c r="L519" i="1"/>
  <c r="K519" i="1"/>
  <c r="J519" i="1"/>
  <c r="I519" i="1"/>
  <c r="H519" i="1"/>
  <c r="G519" i="1"/>
  <c r="D519" i="1"/>
  <c r="C519" i="1"/>
  <c r="M518" i="1"/>
  <c r="L518" i="1"/>
  <c r="K518" i="1"/>
  <c r="J518" i="1"/>
  <c r="I518" i="1"/>
  <c r="H518" i="1"/>
  <c r="G518" i="1"/>
  <c r="D518" i="1"/>
  <c r="C518" i="1"/>
  <c r="M517" i="1"/>
  <c r="L517" i="1"/>
  <c r="K517" i="1"/>
  <c r="J517" i="1"/>
  <c r="I517" i="1"/>
  <c r="H517" i="1"/>
  <c r="G517" i="1"/>
  <c r="D517" i="1"/>
  <c r="C517" i="1"/>
  <c r="M516" i="1"/>
  <c r="L516" i="1"/>
  <c r="K516" i="1"/>
  <c r="J516" i="1"/>
  <c r="I516" i="1"/>
  <c r="H516" i="1"/>
  <c r="G516" i="1"/>
  <c r="D516" i="1"/>
  <c r="C516" i="1"/>
  <c r="M515" i="1"/>
  <c r="L515" i="1"/>
  <c r="K515" i="1"/>
  <c r="J515" i="1"/>
  <c r="I515" i="1"/>
  <c r="H515" i="1"/>
  <c r="G515" i="1"/>
  <c r="D515" i="1"/>
  <c r="C515" i="1"/>
  <c r="M514" i="1"/>
  <c r="L514" i="1"/>
  <c r="K514" i="1"/>
  <c r="J514" i="1"/>
  <c r="I514" i="1"/>
  <c r="H514" i="1"/>
  <c r="G514" i="1"/>
  <c r="D514" i="1"/>
  <c r="C514" i="1"/>
  <c r="M513" i="1"/>
  <c r="L513" i="1"/>
  <c r="K513" i="1"/>
  <c r="J513" i="1"/>
  <c r="I513" i="1"/>
  <c r="H513" i="1"/>
  <c r="G513" i="1"/>
  <c r="D513" i="1"/>
  <c r="C513" i="1"/>
  <c r="M512" i="1"/>
  <c r="L512" i="1"/>
  <c r="K512" i="1"/>
  <c r="J512" i="1"/>
  <c r="I512" i="1"/>
  <c r="H512" i="1"/>
  <c r="G512" i="1"/>
  <c r="D512" i="1"/>
  <c r="C512" i="1"/>
  <c r="M511" i="1"/>
  <c r="L511" i="1"/>
  <c r="K511" i="1"/>
  <c r="J511" i="1"/>
  <c r="I511" i="1"/>
  <c r="H511" i="1"/>
  <c r="G511" i="1"/>
  <c r="D511" i="1"/>
  <c r="C511" i="1"/>
  <c r="M510" i="1"/>
  <c r="L510" i="1"/>
  <c r="K510" i="1"/>
  <c r="J510" i="1"/>
  <c r="I510" i="1"/>
  <c r="H510" i="1"/>
  <c r="G510" i="1"/>
  <c r="D510" i="1"/>
  <c r="C510" i="1"/>
  <c r="M509" i="1"/>
  <c r="L509" i="1"/>
  <c r="K509" i="1"/>
  <c r="J509" i="1"/>
  <c r="I509" i="1"/>
  <c r="H509" i="1"/>
  <c r="G509" i="1"/>
  <c r="D509" i="1"/>
  <c r="C509" i="1"/>
  <c r="M508" i="1"/>
  <c r="L508" i="1"/>
  <c r="K508" i="1"/>
  <c r="J508" i="1"/>
  <c r="I508" i="1"/>
  <c r="H508" i="1"/>
  <c r="G508" i="1"/>
  <c r="D508" i="1"/>
  <c r="C508" i="1"/>
  <c r="M507" i="1"/>
  <c r="L507" i="1"/>
  <c r="K507" i="1"/>
  <c r="J507" i="1"/>
  <c r="I507" i="1"/>
  <c r="H507" i="1"/>
  <c r="G507" i="1"/>
  <c r="D507" i="1"/>
  <c r="C507" i="1"/>
  <c r="M506" i="1"/>
  <c r="L506" i="1"/>
  <c r="K506" i="1"/>
  <c r="J506" i="1"/>
  <c r="I506" i="1"/>
  <c r="H506" i="1"/>
  <c r="G506" i="1"/>
  <c r="D506" i="1"/>
  <c r="C506" i="1"/>
  <c r="M505" i="1"/>
  <c r="L505" i="1"/>
  <c r="K505" i="1"/>
  <c r="J505" i="1"/>
  <c r="I505" i="1"/>
  <c r="H505" i="1"/>
  <c r="G505" i="1"/>
  <c r="D505" i="1"/>
  <c r="C505" i="1"/>
  <c r="M504" i="1"/>
  <c r="L504" i="1"/>
  <c r="K504" i="1"/>
  <c r="J504" i="1"/>
  <c r="I504" i="1"/>
  <c r="H504" i="1"/>
  <c r="G504" i="1"/>
  <c r="D504" i="1"/>
  <c r="C504" i="1"/>
  <c r="M503" i="1"/>
  <c r="L503" i="1"/>
  <c r="K503" i="1"/>
  <c r="J503" i="1"/>
  <c r="I503" i="1"/>
  <c r="H503" i="1"/>
  <c r="G503" i="1"/>
  <c r="D503" i="1"/>
  <c r="C503" i="1"/>
  <c r="M502" i="1"/>
  <c r="L502" i="1"/>
  <c r="K502" i="1"/>
  <c r="J502" i="1"/>
  <c r="I502" i="1"/>
  <c r="H502" i="1"/>
  <c r="G502" i="1"/>
  <c r="D502" i="1"/>
  <c r="C502" i="1"/>
  <c r="M501" i="1"/>
  <c r="L501" i="1"/>
  <c r="K501" i="1"/>
  <c r="J501" i="1"/>
  <c r="I501" i="1"/>
  <c r="H501" i="1"/>
  <c r="G501" i="1"/>
  <c r="D501" i="1"/>
  <c r="C501" i="1"/>
  <c r="M500" i="1"/>
  <c r="L500" i="1"/>
  <c r="K500" i="1"/>
  <c r="J500" i="1"/>
  <c r="I500" i="1"/>
  <c r="H500" i="1"/>
  <c r="G500" i="1"/>
  <c r="D500" i="1"/>
  <c r="C500" i="1"/>
  <c r="M499" i="1"/>
  <c r="L499" i="1"/>
  <c r="K499" i="1"/>
  <c r="J499" i="1"/>
  <c r="I499" i="1"/>
  <c r="H499" i="1"/>
  <c r="G499" i="1"/>
  <c r="D499" i="1"/>
  <c r="C499" i="1"/>
  <c r="M498" i="1"/>
  <c r="L498" i="1"/>
  <c r="K498" i="1"/>
  <c r="J498" i="1"/>
  <c r="I498" i="1"/>
  <c r="H498" i="1"/>
  <c r="G498" i="1"/>
  <c r="D498" i="1"/>
  <c r="C498" i="1"/>
  <c r="M497" i="1"/>
  <c r="L497" i="1"/>
  <c r="K497" i="1"/>
  <c r="J497" i="1"/>
  <c r="I497" i="1"/>
  <c r="H497" i="1"/>
  <c r="G497" i="1"/>
  <c r="D497" i="1"/>
  <c r="C497" i="1"/>
  <c r="M496" i="1"/>
  <c r="L496" i="1"/>
  <c r="K496" i="1"/>
  <c r="J496" i="1"/>
  <c r="I496" i="1"/>
  <c r="H496" i="1"/>
  <c r="G496" i="1"/>
  <c r="D496" i="1"/>
  <c r="C496" i="1"/>
  <c r="M495" i="1"/>
  <c r="L495" i="1"/>
  <c r="K495" i="1"/>
  <c r="J495" i="1"/>
  <c r="I495" i="1"/>
  <c r="H495" i="1"/>
  <c r="G495" i="1"/>
  <c r="D495" i="1"/>
  <c r="C495" i="1"/>
  <c r="M494" i="1"/>
  <c r="L494" i="1"/>
  <c r="K494" i="1"/>
  <c r="J494" i="1"/>
  <c r="I494" i="1"/>
  <c r="H494" i="1"/>
  <c r="G494" i="1"/>
  <c r="D494" i="1"/>
  <c r="C494" i="1"/>
  <c r="M493" i="1"/>
  <c r="L493" i="1"/>
  <c r="K493" i="1"/>
  <c r="J493" i="1"/>
  <c r="I493" i="1"/>
  <c r="H493" i="1"/>
  <c r="G493" i="1"/>
  <c r="D493" i="1"/>
  <c r="C493" i="1"/>
  <c r="M492" i="1"/>
  <c r="L492" i="1"/>
  <c r="K492" i="1"/>
  <c r="J492" i="1"/>
  <c r="I492" i="1"/>
  <c r="H492" i="1"/>
  <c r="G492" i="1"/>
  <c r="D492" i="1"/>
  <c r="C492" i="1"/>
  <c r="M491" i="1"/>
  <c r="L491" i="1"/>
  <c r="K491" i="1"/>
  <c r="J491" i="1"/>
  <c r="I491" i="1"/>
  <c r="H491" i="1"/>
  <c r="G491" i="1"/>
  <c r="D491" i="1"/>
  <c r="C491" i="1"/>
  <c r="M490" i="1"/>
  <c r="L490" i="1"/>
  <c r="K490" i="1"/>
  <c r="J490" i="1"/>
  <c r="I490" i="1"/>
  <c r="H490" i="1"/>
  <c r="G490" i="1"/>
  <c r="D490" i="1"/>
  <c r="C490" i="1"/>
  <c r="M489" i="1"/>
  <c r="L489" i="1"/>
  <c r="K489" i="1"/>
  <c r="J489" i="1"/>
  <c r="I489" i="1"/>
  <c r="H489" i="1"/>
  <c r="G489" i="1"/>
  <c r="D489" i="1"/>
  <c r="C489" i="1"/>
  <c r="M488" i="1"/>
  <c r="L488" i="1"/>
  <c r="K488" i="1"/>
  <c r="J488" i="1"/>
  <c r="I488" i="1"/>
  <c r="H488" i="1"/>
  <c r="G488" i="1"/>
  <c r="D488" i="1"/>
  <c r="C488" i="1"/>
  <c r="M487" i="1"/>
  <c r="L487" i="1"/>
  <c r="K487" i="1"/>
  <c r="J487" i="1"/>
  <c r="I487" i="1"/>
  <c r="H487" i="1"/>
  <c r="G487" i="1"/>
  <c r="D487" i="1"/>
  <c r="C487" i="1"/>
  <c r="M486" i="1"/>
  <c r="L486" i="1"/>
  <c r="K486" i="1"/>
  <c r="J486" i="1"/>
  <c r="I486" i="1"/>
  <c r="H486" i="1"/>
  <c r="G486" i="1"/>
  <c r="D486" i="1"/>
  <c r="C486" i="1"/>
  <c r="M485" i="1"/>
  <c r="L485" i="1"/>
  <c r="K485" i="1"/>
  <c r="J485" i="1"/>
  <c r="I485" i="1"/>
  <c r="H485" i="1"/>
  <c r="G485" i="1"/>
  <c r="D485" i="1"/>
  <c r="C485" i="1"/>
  <c r="M484" i="1"/>
  <c r="L484" i="1"/>
  <c r="K484" i="1"/>
  <c r="J484" i="1"/>
  <c r="I484" i="1"/>
  <c r="H484" i="1"/>
  <c r="G484" i="1"/>
  <c r="D484" i="1"/>
  <c r="C484" i="1"/>
  <c r="M483" i="1"/>
  <c r="L483" i="1"/>
  <c r="K483" i="1"/>
  <c r="J483" i="1"/>
  <c r="I483" i="1"/>
  <c r="H483" i="1"/>
  <c r="G483" i="1"/>
  <c r="D483" i="1"/>
  <c r="C483" i="1"/>
  <c r="M482" i="1"/>
  <c r="L482" i="1"/>
  <c r="K482" i="1"/>
  <c r="J482" i="1"/>
  <c r="I482" i="1"/>
  <c r="H482" i="1"/>
  <c r="G482" i="1"/>
  <c r="D482" i="1"/>
  <c r="C482" i="1"/>
  <c r="M481" i="1"/>
  <c r="L481" i="1"/>
  <c r="K481" i="1"/>
  <c r="J481" i="1"/>
  <c r="I481" i="1"/>
  <c r="H481" i="1"/>
  <c r="G481" i="1"/>
  <c r="D481" i="1"/>
  <c r="C481" i="1"/>
  <c r="M480" i="1"/>
  <c r="L480" i="1"/>
  <c r="K480" i="1"/>
  <c r="J480" i="1"/>
  <c r="I480" i="1"/>
  <c r="H480" i="1"/>
  <c r="G480" i="1"/>
  <c r="D480" i="1"/>
  <c r="C480" i="1"/>
  <c r="M479" i="1"/>
  <c r="L479" i="1"/>
  <c r="K479" i="1"/>
  <c r="J479" i="1"/>
  <c r="I479" i="1"/>
  <c r="H479" i="1"/>
  <c r="G479" i="1"/>
  <c r="D479" i="1"/>
  <c r="C479" i="1"/>
  <c r="M478" i="1"/>
  <c r="L478" i="1"/>
  <c r="K478" i="1"/>
  <c r="J478" i="1"/>
  <c r="I478" i="1"/>
  <c r="H478" i="1"/>
  <c r="G478" i="1"/>
  <c r="D478" i="1"/>
  <c r="C478" i="1"/>
  <c r="M477" i="1"/>
  <c r="L477" i="1"/>
  <c r="K477" i="1"/>
  <c r="J477" i="1"/>
  <c r="I477" i="1"/>
  <c r="H477" i="1"/>
  <c r="G477" i="1"/>
  <c r="D477" i="1"/>
  <c r="C477" i="1"/>
  <c r="M476" i="1"/>
  <c r="L476" i="1"/>
  <c r="K476" i="1"/>
  <c r="J476" i="1"/>
  <c r="I476" i="1"/>
  <c r="H476" i="1"/>
  <c r="G476" i="1"/>
  <c r="D476" i="1"/>
  <c r="C476" i="1"/>
  <c r="M475" i="1"/>
  <c r="L475" i="1"/>
  <c r="K475" i="1"/>
  <c r="J475" i="1"/>
  <c r="I475" i="1"/>
  <c r="H475" i="1"/>
  <c r="G475" i="1"/>
  <c r="D475" i="1"/>
  <c r="C475" i="1"/>
  <c r="M474" i="1"/>
  <c r="L474" i="1"/>
  <c r="K474" i="1"/>
  <c r="J474" i="1"/>
  <c r="I474" i="1"/>
  <c r="H474" i="1"/>
  <c r="G474" i="1"/>
  <c r="D474" i="1"/>
  <c r="C474" i="1"/>
  <c r="M473" i="1"/>
  <c r="L473" i="1"/>
  <c r="K473" i="1"/>
  <c r="J473" i="1"/>
  <c r="I473" i="1"/>
  <c r="H473" i="1"/>
  <c r="G473" i="1"/>
  <c r="D473" i="1"/>
  <c r="C473" i="1"/>
  <c r="M472" i="1"/>
  <c r="L472" i="1"/>
  <c r="K472" i="1"/>
  <c r="J472" i="1"/>
  <c r="I472" i="1"/>
  <c r="H472" i="1"/>
  <c r="G472" i="1"/>
  <c r="D472" i="1"/>
  <c r="C472" i="1"/>
  <c r="M471" i="1"/>
  <c r="L471" i="1"/>
  <c r="K471" i="1"/>
  <c r="J471" i="1"/>
  <c r="I471" i="1"/>
  <c r="H471" i="1"/>
  <c r="G471" i="1"/>
  <c r="D471" i="1"/>
  <c r="C471" i="1"/>
  <c r="M470" i="1"/>
  <c r="L470" i="1"/>
  <c r="K470" i="1"/>
  <c r="J470" i="1"/>
  <c r="I470" i="1"/>
  <c r="H470" i="1"/>
  <c r="G470" i="1"/>
  <c r="D470" i="1"/>
  <c r="C470" i="1"/>
  <c r="M469" i="1"/>
  <c r="L469" i="1"/>
  <c r="K469" i="1"/>
  <c r="J469" i="1"/>
  <c r="I469" i="1"/>
  <c r="H469" i="1"/>
  <c r="G469" i="1"/>
  <c r="D469" i="1"/>
  <c r="C469" i="1"/>
  <c r="M468" i="1"/>
  <c r="L468" i="1"/>
  <c r="K468" i="1"/>
  <c r="J468" i="1"/>
  <c r="I468" i="1"/>
  <c r="H468" i="1"/>
  <c r="G468" i="1"/>
  <c r="D468" i="1"/>
  <c r="C468" i="1"/>
  <c r="M467" i="1"/>
  <c r="L467" i="1"/>
  <c r="K467" i="1"/>
  <c r="J467" i="1"/>
  <c r="I467" i="1"/>
  <c r="H467" i="1"/>
  <c r="G467" i="1"/>
  <c r="D467" i="1"/>
  <c r="C467" i="1"/>
  <c r="M466" i="1"/>
  <c r="L466" i="1"/>
  <c r="K466" i="1"/>
  <c r="J466" i="1"/>
  <c r="I466" i="1"/>
  <c r="H466" i="1"/>
  <c r="G466" i="1"/>
  <c r="D466" i="1"/>
  <c r="C466" i="1"/>
  <c r="M465" i="1"/>
  <c r="L465" i="1"/>
  <c r="K465" i="1"/>
  <c r="J465" i="1"/>
  <c r="I465" i="1"/>
  <c r="H465" i="1"/>
  <c r="G465" i="1"/>
  <c r="D465" i="1"/>
  <c r="C465" i="1"/>
  <c r="M464" i="1"/>
  <c r="L464" i="1"/>
  <c r="K464" i="1"/>
  <c r="J464" i="1"/>
  <c r="I464" i="1"/>
  <c r="H464" i="1"/>
  <c r="G464" i="1"/>
  <c r="D464" i="1"/>
  <c r="C464" i="1"/>
  <c r="M463" i="1"/>
  <c r="L463" i="1"/>
  <c r="K463" i="1"/>
  <c r="J463" i="1"/>
  <c r="I463" i="1"/>
  <c r="H463" i="1"/>
  <c r="G463" i="1"/>
  <c r="D463" i="1"/>
  <c r="C463" i="1"/>
  <c r="M462" i="1"/>
  <c r="L462" i="1"/>
  <c r="K462" i="1"/>
  <c r="J462" i="1"/>
  <c r="I462" i="1"/>
  <c r="H462" i="1"/>
  <c r="G462" i="1"/>
  <c r="D462" i="1"/>
  <c r="C462" i="1"/>
  <c r="M461" i="1"/>
  <c r="L461" i="1"/>
  <c r="K461" i="1"/>
  <c r="J461" i="1"/>
  <c r="I461" i="1"/>
  <c r="H461" i="1"/>
  <c r="G461" i="1"/>
  <c r="D461" i="1"/>
  <c r="C461" i="1"/>
  <c r="M460" i="1"/>
  <c r="L460" i="1"/>
  <c r="K460" i="1"/>
  <c r="J460" i="1"/>
  <c r="I460" i="1"/>
  <c r="H460" i="1"/>
  <c r="G460" i="1"/>
  <c r="D460" i="1"/>
  <c r="C460" i="1"/>
  <c r="M459" i="1"/>
  <c r="L459" i="1"/>
  <c r="K459" i="1"/>
  <c r="J459" i="1"/>
  <c r="I459" i="1"/>
  <c r="H459" i="1"/>
  <c r="G459" i="1"/>
  <c r="D459" i="1"/>
  <c r="C459" i="1"/>
  <c r="M458" i="1"/>
  <c r="L458" i="1"/>
  <c r="K458" i="1"/>
  <c r="J458" i="1"/>
  <c r="I458" i="1"/>
  <c r="H458" i="1"/>
  <c r="G458" i="1"/>
  <c r="D458" i="1"/>
  <c r="C458" i="1"/>
  <c r="M457" i="1"/>
  <c r="L457" i="1"/>
  <c r="K457" i="1"/>
  <c r="J457" i="1"/>
  <c r="I457" i="1"/>
  <c r="H457" i="1"/>
  <c r="G457" i="1"/>
  <c r="D457" i="1"/>
  <c r="C457" i="1"/>
  <c r="M456" i="1"/>
  <c r="L456" i="1"/>
  <c r="K456" i="1"/>
  <c r="J456" i="1"/>
  <c r="I456" i="1"/>
  <c r="H456" i="1"/>
  <c r="G456" i="1"/>
  <c r="D456" i="1"/>
  <c r="C456" i="1"/>
  <c r="M455" i="1"/>
  <c r="L455" i="1"/>
  <c r="K455" i="1"/>
  <c r="J455" i="1"/>
  <c r="I455" i="1"/>
  <c r="H455" i="1"/>
  <c r="G455" i="1"/>
  <c r="D455" i="1"/>
  <c r="C455" i="1"/>
  <c r="M454" i="1"/>
  <c r="L454" i="1"/>
  <c r="K454" i="1"/>
  <c r="J454" i="1"/>
  <c r="I454" i="1"/>
  <c r="H454" i="1"/>
  <c r="G454" i="1"/>
  <c r="D454" i="1"/>
  <c r="C454" i="1"/>
  <c r="M453" i="1"/>
  <c r="L453" i="1"/>
  <c r="K453" i="1"/>
  <c r="J453" i="1"/>
  <c r="I453" i="1"/>
  <c r="H453" i="1"/>
  <c r="G453" i="1"/>
  <c r="D453" i="1"/>
  <c r="C453" i="1"/>
  <c r="M452" i="1"/>
  <c r="L452" i="1"/>
  <c r="K452" i="1"/>
  <c r="J452" i="1"/>
  <c r="I452" i="1"/>
  <c r="H452" i="1"/>
  <c r="G452" i="1"/>
  <c r="D452" i="1"/>
  <c r="C452" i="1"/>
  <c r="M451" i="1"/>
  <c r="L451" i="1"/>
  <c r="K451" i="1"/>
  <c r="J451" i="1"/>
  <c r="I451" i="1"/>
  <c r="H451" i="1"/>
  <c r="G451" i="1"/>
  <c r="D451" i="1"/>
  <c r="C451" i="1"/>
  <c r="M450" i="1"/>
  <c r="L450" i="1"/>
  <c r="K450" i="1"/>
  <c r="J450" i="1"/>
  <c r="I450" i="1"/>
  <c r="H450" i="1"/>
  <c r="G450" i="1"/>
  <c r="D450" i="1"/>
  <c r="C450" i="1"/>
  <c r="M449" i="1"/>
  <c r="L449" i="1"/>
  <c r="K449" i="1"/>
  <c r="J449" i="1"/>
  <c r="I449" i="1"/>
  <c r="H449" i="1"/>
  <c r="G449" i="1"/>
  <c r="D449" i="1"/>
  <c r="C449" i="1"/>
  <c r="M448" i="1"/>
  <c r="L448" i="1"/>
  <c r="K448" i="1"/>
  <c r="J448" i="1"/>
  <c r="I448" i="1"/>
  <c r="H448" i="1"/>
  <c r="G448" i="1"/>
  <c r="D448" i="1"/>
  <c r="C448" i="1"/>
  <c r="M447" i="1"/>
  <c r="L447" i="1"/>
  <c r="K447" i="1"/>
  <c r="J447" i="1"/>
  <c r="I447" i="1"/>
  <c r="H447" i="1"/>
  <c r="G447" i="1"/>
  <c r="D447" i="1"/>
  <c r="C447" i="1"/>
  <c r="M446" i="1"/>
  <c r="L446" i="1"/>
  <c r="K446" i="1"/>
  <c r="J446" i="1"/>
  <c r="I446" i="1"/>
  <c r="H446" i="1"/>
  <c r="G446" i="1"/>
  <c r="D446" i="1"/>
  <c r="C446" i="1"/>
  <c r="M445" i="1"/>
  <c r="L445" i="1"/>
  <c r="K445" i="1"/>
  <c r="J445" i="1"/>
  <c r="I445" i="1"/>
  <c r="H445" i="1"/>
  <c r="G445" i="1"/>
  <c r="D445" i="1"/>
  <c r="C445" i="1"/>
  <c r="M444" i="1"/>
  <c r="L444" i="1"/>
  <c r="K444" i="1"/>
  <c r="J444" i="1"/>
  <c r="I444" i="1"/>
  <c r="H444" i="1"/>
  <c r="G444" i="1"/>
  <c r="D444" i="1"/>
  <c r="C444" i="1"/>
  <c r="M443" i="1"/>
  <c r="L443" i="1"/>
  <c r="K443" i="1"/>
  <c r="J443" i="1"/>
  <c r="I443" i="1"/>
  <c r="H443" i="1"/>
  <c r="G443" i="1"/>
  <c r="D443" i="1"/>
  <c r="C443" i="1"/>
  <c r="M442" i="1"/>
  <c r="L442" i="1"/>
  <c r="K442" i="1"/>
  <c r="J442" i="1"/>
  <c r="I442" i="1"/>
  <c r="H442" i="1"/>
  <c r="G442" i="1"/>
  <c r="D442" i="1"/>
  <c r="C442" i="1"/>
  <c r="M441" i="1"/>
  <c r="L441" i="1"/>
  <c r="K441" i="1"/>
  <c r="J441" i="1"/>
  <c r="I441" i="1"/>
  <c r="H441" i="1"/>
  <c r="G441" i="1"/>
  <c r="D441" i="1"/>
  <c r="C441" i="1"/>
  <c r="M440" i="1"/>
  <c r="L440" i="1"/>
  <c r="K440" i="1"/>
  <c r="J440" i="1"/>
  <c r="I440" i="1"/>
  <c r="H440" i="1"/>
  <c r="G440" i="1"/>
  <c r="D440" i="1"/>
  <c r="C440" i="1"/>
  <c r="M439" i="1"/>
  <c r="L439" i="1"/>
  <c r="K439" i="1"/>
  <c r="J439" i="1"/>
  <c r="I439" i="1"/>
  <c r="H439" i="1"/>
  <c r="G439" i="1"/>
  <c r="D439" i="1"/>
  <c r="C439" i="1"/>
  <c r="M438" i="1"/>
  <c r="L438" i="1"/>
  <c r="K438" i="1"/>
  <c r="J438" i="1"/>
  <c r="I438" i="1"/>
  <c r="H438" i="1"/>
  <c r="G438" i="1"/>
  <c r="D438" i="1"/>
  <c r="C438" i="1"/>
  <c r="M437" i="1"/>
  <c r="L437" i="1"/>
  <c r="K437" i="1"/>
  <c r="J437" i="1"/>
  <c r="I437" i="1"/>
  <c r="H437" i="1"/>
  <c r="G437" i="1"/>
  <c r="D437" i="1"/>
  <c r="C437" i="1"/>
  <c r="M436" i="1"/>
  <c r="L436" i="1"/>
  <c r="K436" i="1"/>
  <c r="J436" i="1"/>
  <c r="I436" i="1"/>
  <c r="H436" i="1"/>
  <c r="G436" i="1"/>
  <c r="D436" i="1"/>
  <c r="C436" i="1"/>
  <c r="M435" i="1"/>
  <c r="L435" i="1"/>
  <c r="K435" i="1"/>
  <c r="J435" i="1"/>
  <c r="I435" i="1"/>
  <c r="H435" i="1"/>
  <c r="G435" i="1"/>
  <c r="D435" i="1"/>
  <c r="C435" i="1"/>
  <c r="M434" i="1"/>
  <c r="L434" i="1"/>
  <c r="K434" i="1"/>
  <c r="J434" i="1"/>
  <c r="I434" i="1"/>
  <c r="H434" i="1"/>
  <c r="G434" i="1"/>
  <c r="D434" i="1"/>
  <c r="C434" i="1"/>
  <c r="M433" i="1"/>
  <c r="L433" i="1"/>
  <c r="K433" i="1"/>
  <c r="J433" i="1"/>
  <c r="I433" i="1"/>
  <c r="H433" i="1"/>
  <c r="G433" i="1"/>
  <c r="D433" i="1"/>
  <c r="C433" i="1"/>
  <c r="M432" i="1"/>
  <c r="L432" i="1"/>
  <c r="K432" i="1"/>
  <c r="J432" i="1"/>
  <c r="I432" i="1"/>
  <c r="H432" i="1"/>
  <c r="G432" i="1"/>
  <c r="D432" i="1"/>
  <c r="C432" i="1"/>
  <c r="M431" i="1"/>
  <c r="L431" i="1"/>
  <c r="K431" i="1"/>
  <c r="J431" i="1"/>
  <c r="I431" i="1"/>
  <c r="H431" i="1"/>
  <c r="G431" i="1"/>
  <c r="D431" i="1"/>
  <c r="C431" i="1"/>
  <c r="M430" i="1"/>
  <c r="L430" i="1"/>
  <c r="K430" i="1"/>
  <c r="J430" i="1"/>
  <c r="I430" i="1"/>
  <c r="H430" i="1"/>
  <c r="G430" i="1"/>
  <c r="D430" i="1"/>
  <c r="C430" i="1"/>
  <c r="M429" i="1"/>
  <c r="L429" i="1"/>
  <c r="K429" i="1"/>
  <c r="J429" i="1"/>
  <c r="I429" i="1"/>
  <c r="H429" i="1"/>
  <c r="G429" i="1"/>
  <c r="D429" i="1"/>
  <c r="C429" i="1"/>
  <c r="M428" i="1"/>
  <c r="L428" i="1"/>
  <c r="K428" i="1"/>
  <c r="J428" i="1"/>
  <c r="I428" i="1"/>
  <c r="H428" i="1"/>
  <c r="G428" i="1"/>
  <c r="D428" i="1"/>
  <c r="C428" i="1"/>
  <c r="M427" i="1"/>
  <c r="L427" i="1"/>
  <c r="K427" i="1"/>
  <c r="J427" i="1"/>
  <c r="I427" i="1"/>
  <c r="H427" i="1"/>
  <c r="G427" i="1"/>
  <c r="D427" i="1"/>
  <c r="C427" i="1"/>
  <c r="M426" i="1"/>
  <c r="L426" i="1"/>
  <c r="K426" i="1"/>
  <c r="J426" i="1"/>
  <c r="I426" i="1"/>
  <c r="H426" i="1"/>
  <c r="G426" i="1"/>
  <c r="D426" i="1"/>
  <c r="C426" i="1"/>
  <c r="M425" i="1"/>
  <c r="L425" i="1"/>
  <c r="K425" i="1"/>
  <c r="J425" i="1"/>
  <c r="I425" i="1"/>
  <c r="H425" i="1"/>
  <c r="G425" i="1"/>
  <c r="D425" i="1"/>
  <c r="C425" i="1"/>
  <c r="M424" i="1"/>
  <c r="L424" i="1"/>
  <c r="K424" i="1"/>
  <c r="J424" i="1"/>
  <c r="I424" i="1"/>
  <c r="H424" i="1"/>
  <c r="G424" i="1"/>
  <c r="D424" i="1"/>
  <c r="C424" i="1"/>
  <c r="M423" i="1"/>
  <c r="L423" i="1"/>
  <c r="K423" i="1"/>
  <c r="J423" i="1"/>
  <c r="I423" i="1"/>
  <c r="H423" i="1"/>
  <c r="G423" i="1"/>
  <c r="D423" i="1"/>
  <c r="C423" i="1"/>
  <c r="M422" i="1"/>
  <c r="L422" i="1"/>
  <c r="K422" i="1"/>
  <c r="J422" i="1"/>
  <c r="I422" i="1"/>
  <c r="H422" i="1"/>
  <c r="G422" i="1"/>
  <c r="D422" i="1"/>
  <c r="C422" i="1"/>
  <c r="M421" i="1"/>
  <c r="L421" i="1"/>
  <c r="K421" i="1"/>
  <c r="J421" i="1"/>
  <c r="I421" i="1"/>
  <c r="H421" i="1"/>
  <c r="G421" i="1"/>
  <c r="D421" i="1"/>
  <c r="C421" i="1"/>
  <c r="M420" i="1"/>
  <c r="L420" i="1"/>
  <c r="K420" i="1"/>
  <c r="J420" i="1"/>
  <c r="I420" i="1"/>
  <c r="H420" i="1"/>
  <c r="G420" i="1"/>
  <c r="D420" i="1"/>
  <c r="C420" i="1"/>
  <c r="M419" i="1"/>
  <c r="L419" i="1"/>
  <c r="K419" i="1"/>
  <c r="J419" i="1"/>
  <c r="I419" i="1"/>
  <c r="H419" i="1"/>
  <c r="G419" i="1"/>
  <c r="D419" i="1"/>
  <c r="C419" i="1"/>
  <c r="M418" i="1"/>
  <c r="L418" i="1"/>
  <c r="K418" i="1"/>
  <c r="J418" i="1"/>
  <c r="I418" i="1"/>
  <c r="H418" i="1"/>
  <c r="G418" i="1"/>
  <c r="D418" i="1"/>
  <c r="C418" i="1"/>
  <c r="M417" i="1"/>
  <c r="L417" i="1"/>
  <c r="K417" i="1"/>
  <c r="J417" i="1"/>
  <c r="I417" i="1"/>
  <c r="H417" i="1"/>
  <c r="G417" i="1"/>
  <c r="D417" i="1"/>
  <c r="C417" i="1"/>
  <c r="M416" i="1"/>
  <c r="L416" i="1"/>
  <c r="K416" i="1"/>
  <c r="J416" i="1"/>
  <c r="I416" i="1"/>
  <c r="H416" i="1"/>
  <c r="G416" i="1"/>
  <c r="D416" i="1"/>
  <c r="C416" i="1"/>
  <c r="M415" i="1"/>
  <c r="L415" i="1"/>
  <c r="K415" i="1"/>
  <c r="J415" i="1"/>
  <c r="I415" i="1"/>
  <c r="H415" i="1"/>
  <c r="G415" i="1"/>
  <c r="D415" i="1"/>
  <c r="C415" i="1"/>
  <c r="M414" i="1"/>
  <c r="L414" i="1"/>
  <c r="K414" i="1"/>
  <c r="J414" i="1"/>
  <c r="I414" i="1"/>
  <c r="H414" i="1"/>
  <c r="G414" i="1"/>
  <c r="D414" i="1"/>
  <c r="C414" i="1"/>
  <c r="M413" i="1"/>
  <c r="L413" i="1"/>
  <c r="K413" i="1"/>
  <c r="J413" i="1"/>
  <c r="I413" i="1"/>
  <c r="H413" i="1"/>
  <c r="G413" i="1"/>
  <c r="D413" i="1"/>
  <c r="C413" i="1"/>
  <c r="M412" i="1"/>
  <c r="L412" i="1"/>
  <c r="K412" i="1"/>
  <c r="J412" i="1"/>
  <c r="I412" i="1"/>
  <c r="H412" i="1"/>
  <c r="G412" i="1"/>
  <c r="D412" i="1"/>
  <c r="C412" i="1"/>
  <c r="M411" i="1"/>
  <c r="L411" i="1"/>
  <c r="K411" i="1"/>
  <c r="J411" i="1"/>
  <c r="I411" i="1"/>
  <c r="H411" i="1"/>
  <c r="G411" i="1"/>
  <c r="D411" i="1"/>
  <c r="C411" i="1"/>
  <c r="M410" i="1"/>
  <c r="L410" i="1"/>
  <c r="K410" i="1"/>
  <c r="J410" i="1"/>
  <c r="I410" i="1"/>
  <c r="H410" i="1"/>
  <c r="G410" i="1"/>
  <c r="D410" i="1"/>
  <c r="C410" i="1"/>
  <c r="M409" i="1"/>
  <c r="L409" i="1"/>
  <c r="K409" i="1"/>
  <c r="J409" i="1"/>
  <c r="I409" i="1"/>
  <c r="H409" i="1"/>
  <c r="G409" i="1"/>
  <c r="D409" i="1"/>
  <c r="C409" i="1"/>
  <c r="M408" i="1"/>
  <c r="L408" i="1"/>
  <c r="K408" i="1"/>
  <c r="J408" i="1"/>
  <c r="I408" i="1"/>
  <c r="H408" i="1"/>
  <c r="G408" i="1"/>
  <c r="D408" i="1"/>
  <c r="C408" i="1"/>
  <c r="M407" i="1"/>
  <c r="L407" i="1"/>
  <c r="K407" i="1"/>
  <c r="J407" i="1"/>
  <c r="I407" i="1"/>
  <c r="H407" i="1"/>
  <c r="G407" i="1"/>
  <c r="D407" i="1"/>
  <c r="C407" i="1"/>
  <c r="M406" i="1"/>
  <c r="L406" i="1"/>
  <c r="K406" i="1"/>
  <c r="J406" i="1"/>
  <c r="I406" i="1"/>
  <c r="H406" i="1"/>
  <c r="G406" i="1"/>
  <c r="D406" i="1"/>
  <c r="C406" i="1"/>
  <c r="M405" i="1"/>
  <c r="L405" i="1"/>
  <c r="K405" i="1"/>
  <c r="J405" i="1"/>
  <c r="I405" i="1"/>
  <c r="H405" i="1"/>
  <c r="G405" i="1"/>
  <c r="D405" i="1"/>
  <c r="C405" i="1"/>
  <c r="M404" i="1"/>
  <c r="L404" i="1"/>
  <c r="K404" i="1"/>
  <c r="J404" i="1"/>
  <c r="I404" i="1"/>
  <c r="H404" i="1"/>
  <c r="G404" i="1"/>
  <c r="D404" i="1"/>
  <c r="C404" i="1"/>
  <c r="M403" i="1"/>
  <c r="L403" i="1"/>
  <c r="K403" i="1"/>
  <c r="J403" i="1"/>
  <c r="I403" i="1"/>
  <c r="H403" i="1"/>
  <c r="G403" i="1"/>
  <c r="D403" i="1"/>
  <c r="C403" i="1"/>
  <c r="M402" i="1"/>
  <c r="L402" i="1"/>
  <c r="K402" i="1"/>
  <c r="J402" i="1"/>
  <c r="I402" i="1"/>
  <c r="H402" i="1"/>
  <c r="G402" i="1"/>
  <c r="D402" i="1"/>
  <c r="C402" i="1"/>
  <c r="M401" i="1"/>
  <c r="L401" i="1"/>
  <c r="K401" i="1"/>
  <c r="J401" i="1"/>
  <c r="I401" i="1"/>
  <c r="H401" i="1"/>
  <c r="G401" i="1"/>
  <c r="D401" i="1"/>
  <c r="C401" i="1"/>
  <c r="M400" i="1"/>
  <c r="L400" i="1"/>
  <c r="K400" i="1"/>
  <c r="J400" i="1"/>
  <c r="I400" i="1"/>
  <c r="H400" i="1"/>
  <c r="G400" i="1"/>
  <c r="D400" i="1"/>
  <c r="C400" i="1"/>
  <c r="M399" i="1"/>
  <c r="L399" i="1"/>
  <c r="K399" i="1"/>
  <c r="J399" i="1"/>
  <c r="I399" i="1"/>
  <c r="H399" i="1"/>
  <c r="G399" i="1"/>
  <c r="D399" i="1"/>
  <c r="C399" i="1"/>
  <c r="M398" i="1"/>
  <c r="L398" i="1"/>
  <c r="K398" i="1"/>
  <c r="J398" i="1"/>
  <c r="I398" i="1"/>
  <c r="H398" i="1"/>
  <c r="G398" i="1"/>
  <c r="D398" i="1"/>
  <c r="C398" i="1"/>
  <c r="M397" i="1"/>
  <c r="L397" i="1"/>
  <c r="K397" i="1"/>
  <c r="J397" i="1"/>
  <c r="I397" i="1"/>
  <c r="H397" i="1"/>
  <c r="G397" i="1"/>
  <c r="D397" i="1"/>
  <c r="C397" i="1"/>
  <c r="M396" i="1"/>
  <c r="L396" i="1"/>
  <c r="K396" i="1"/>
  <c r="J396" i="1"/>
  <c r="I396" i="1"/>
  <c r="H396" i="1"/>
  <c r="G396" i="1"/>
  <c r="D396" i="1"/>
  <c r="C396" i="1"/>
  <c r="M395" i="1"/>
  <c r="L395" i="1"/>
  <c r="K395" i="1"/>
  <c r="J395" i="1"/>
  <c r="I395" i="1"/>
  <c r="H395" i="1"/>
  <c r="G395" i="1"/>
  <c r="D395" i="1"/>
  <c r="C395" i="1"/>
  <c r="M394" i="1"/>
  <c r="L394" i="1"/>
  <c r="K394" i="1"/>
  <c r="J394" i="1"/>
  <c r="I394" i="1"/>
  <c r="H394" i="1"/>
  <c r="G394" i="1"/>
  <c r="D394" i="1"/>
  <c r="C394" i="1"/>
  <c r="M393" i="1"/>
  <c r="L393" i="1"/>
  <c r="K393" i="1"/>
  <c r="J393" i="1"/>
  <c r="I393" i="1"/>
  <c r="H393" i="1"/>
  <c r="G393" i="1"/>
  <c r="D393" i="1"/>
  <c r="C393" i="1"/>
  <c r="M392" i="1"/>
  <c r="L392" i="1"/>
  <c r="K392" i="1"/>
  <c r="J392" i="1"/>
  <c r="I392" i="1"/>
  <c r="H392" i="1"/>
  <c r="G392" i="1"/>
  <c r="D392" i="1"/>
  <c r="C392" i="1"/>
  <c r="M391" i="1"/>
  <c r="L391" i="1"/>
  <c r="K391" i="1"/>
  <c r="J391" i="1"/>
  <c r="I391" i="1"/>
  <c r="H391" i="1"/>
  <c r="G391" i="1"/>
  <c r="D391" i="1"/>
  <c r="C391" i="1"/>
  <c r="M390" i="1"/>
  <c r="L390" i="1"/>
  <c r="K390" i="1"/>
  <c r="J390" i="1"/>
  <c r="I390" i="1"/>
  <c r="H390" i="1"/>
  <c r="G390" i="1"/>
  <c r="D390" i="1"/>
  <c r="C390" i="1"/>
  <c r="M389" i="1"/>
  <c r="L389" i="1"/>
  <c r="K389" i="1"/>
  <c r="J389" i="1"/>
  <c r="I389" i="1"/>
  <c r="H389" i="1"/>
  <c r="G389" i="1"/>
  <c r="D389" i="1"/>
  <c r="C389" i="1"/>
  <c r="M388" i="1"/>
  <c r="L388" i="1"/>
  <c r="K388" i="1"/>
  <c r="J388" i="1"/>
  <c r="I388" i="1"/>
  <c r="H388" i="1"/>
  <c r="G388" i="1"/>
  <c r="D388" i="1"/>
  <c r="C388" i="1"/>
  <c r="M387" i="1"/>
  <c r="L387" i="1"/>
  <c r="K387" i="1"/>
  <c r="J387" i="1"/>
  <c r="I387" i="1"/>
  <c r="H387" i="1"/>
  <c r="G387" i="1"/>
  <c r="D387" i="1"/>
  <c r="C387" i="1"/>
  <c r="M386" i="1"/>
  <c r="L386" i="1"/>
  <c r="K386" i="1"/>
  <c r="J386" i="1"/>
  <c r="I386" i="1"/>
  <c r="H386" i="1"/>
  <c r="G386" i="1"/>
  <c r="D386" i="1"/>
  <c r="C386" i="1"/>
  <c r="M385" i="1"/>
  <c r="L385" i="1"/>
  <c r="K385" i="1"/>
  <c r="J385" i="1"/>
  <c r="I385" i="1"/>
  <c r="H385" i="1"/>
  <c r="G385" i="1"/>
  <c r="D385" i="1"/>
  <c r="C385" i="1"/>
  <c r="M384" i="1"/>
  <c r="L384" i="1"/>
  <c r="K384" i="1"/>
  <c r="J384" i="1"/>
  <c r="I384" i="1"/>
  <c r="H384" i="1"/>
  <c r="G384" i="1"/>
  <c r="D384" i="1"/>
  <c r="C384" i="1"/>
  <c r="M383" i="1"/>
  <c r="L383" i="1"/>
  <c r="K383" i="1"/>
  <c r="J383" i="1"/>
  <c r="I383" i="1"/>
  <c r="H383" i="1"/>
  <c r="G383" i="1"/>
  <c r="D383" i="1"/>
  <c r="C383" i="1"/>
  <c r="M382" i="1"/>
  <c r="L382" i="1"/>
  <c r="K382" i="1"/>
  <c r="J382" i="1"/>
  <c r="I382" i="1"/>
  <c r="H382" i="1"/>
  <c r="G382" i="1"/>
  <c r="D382" i="1"/>
  <c r="C382" i="1"/>
  <c r="M381" i="1"/>
  <c r="L381" i="1"/>
  <c r="K381" i="1"/>
  <c r="J381" i="1"/>
  <c r="I381" i="1"/>
  <c r="H381" i="1"/>
  <c r="G381" i="1"/>
  <c r="D381" i="1"/>
  <c r="C381" i="1"/>
  <c r="M380" i="1"/>
  <c r="L380" i="1"/>
  <c r="K380" i="1"/>
  <c r="J380" i="1"/>
  <c r="I380" i="1"/>
  <c r="H380" i="1"/>
  <c r="G380" i="1"/>
  <c r="D380" i="1"/>
  <c r="C380" i="1"/>
  <c r="M379" i="1"/>
  <c r="L379" i="1"/>
  <c r="K379" i="1"/>
  <c r="J379" i="1"/>
  <c r="I379" i="1"/>
  <c r="H379" i="1"/>
  <c r="G379" i="1"/>
  <c r="D379" i="1"/>
  <c r="C379" i="1"/>
  <c r="M378" i="1"/>
  <c r="L378" i="1"/>
  <c r="K378" i="1"/>
  <c r="J378" i="1"/>
  <c r="I378" i="1"/>
  <c r="H378" i="1"/>
  <c r="G378" i="1"/>
  <c r="D378" i="1"/>
  <c r="C378" i="1"/>
  <c r="M377" i="1"/>
  <c r="L377" i="1"/>
  <c r="K377" i="1"/>
  <c r="J377" i="1"/>
  <c r="I377" i="1"/>
  <c r="H377" i="1"/>
  <c r="G377" i="1"/>
  <c r="D377" i="1"/>
  <c r="C377" i="1"/>
  <c r="M376" i="1"/>
  <c r="L376" i="1"/>
  <c r="K376" i="1"/>
  <c r="J376" i="1"/>
  <c r="I376" i="1"/>
  <c r="H376" i="1"/>
  <c r="G376" i="1"/>
  <c r="D376" i="1"/>
  <c r="C376" i="1"/>
  <c r="M375" i="1"/>
  <c r="L375" i="1"/>
  <c r="K375" i="1"/>
  <c r="J375" i="1"/>
  <c r="I375" i="1"/>
  <c r="H375" i="1"/>
  <c r="G375" i="1"/>
  <c r="D375" i="1"/>
  <c r="C375" i="1"/>
  <c r="M374" i="1"/>
  <c r="L374" i="1"/>
  <c r="K374" i="1"/>
  <c r="J374" i="1"/>
  <c r="I374" i="1"/>
  <c r="H374" i="1"/>
  <c r="G374" i="1"/>
  <c r="D374" i="1"/>
  <c r="C374" i="1"/>
  <c r="M373" i="1"/>
  <c r="L373" i="1"/>
  <c r="K373" i="1"/>
  <c r="J373" i="1"/>
  <c r="I373" i="1"/>
  <c r="H373" i="1"/>
  <c r="G373" i="1"/>
  <c r="D373" i="1"/>
  <c r="C373" i="1"/>
  <c r="M372" i="1"/>
  <c r="L372" i="1"/>
  <c r="K372" i="1"/>
  <c r="J372" i="1"/>
  <c r="I372" i="1"/>
  <c r="H372" i="1"/>
  <c r="G372" i="1"/>
  <c r="D372" i="1"/>
  <c r="C372" i="1"/>
  <c r="M371" i="1"/>
  <c r="L371" i="1"/>
  <c r="K371" i="1"/>
  <c r="J371" i="1"/>
  <c r="I371" i="1"/>
  <c r="H371" i="1"/>
  <c r="G371" i="1"/>
  <c r="D371" i="1"/>
  <c r="C371" i="1"/>
  <c r="M370" i="1"/>
  <c r="L370" i="1"/>
  <c r="K370" i="1"/>
  <c r="J370" i="1"/>
  <c r="I370" i="1"/>
  <c r="H370" i="1"/>
  <c r="G370" i="1"/>
  <c r="D370" i="1"/>
  <c r="C370" i="1"/>
  <c r="M369" i="1"/>
  <c r="L369" i="1"/>
  <c r="K369" i="1"/>
  <c r="J369" i="1"/>
  <c r="I369" i="1"/>
  <c r="H369" i="1"/>
  <c r="G369" i="1"/>
  <c r="D369" i="1"/>
  <c r="C369" i="1"/>
  <c r="M368" i="1"/>
  <c r="L368" i="1"/>
  <c r="K368" i="1"/>
  <c r="J368" i="1"/>
  <c r="I368" i="1"/>
  <c r="H368" i="1"/>
  <c r="G368" i="1"/>
  <c r="D368" i="1"/>
  <c r="C368" i="1"/>
  <c r="M367" i="1"/>
  <c r="L367" i="1"/>
  <c r="K367" i="1"/>
  <c r="J367" i="1"/>
  <c r="I367" i="1"/>
  <c r="H367" i="1"/>
  <c r="G367" i="1"/>
  <c r="D367" i="1"/>
  <c r="C367" i="1"/>
  <c r="M366" i="1"/>
  <c r="L366" i="1"/>
  <c r="K366" i="1"/>
  <c r="J366" i="1"/>
  <c r="I366" i="1"/>
  <c r="H366" i="1"/>
  <c r="G366" i="1"/>
  <c r="D366" i="1"/>
  <c r="C366" i="1"/>
  <c r="M365" i="1"/>
  <c r="L365" i="1"/>
  <c r="K365" i="1"/>
  <c r="J365" i="1"/>
  <c r="I365" i="1"/>
  <c r="H365" i="1"/>
  <c r="G365" i="1"/>
  <c r="D365" i="1"/>
  <c r="C365" i="1"/>
  <c r="M364" i="1"/>
  <c r="L364" i="1"/>
  <c r="K364" i="1"/>
  <c r="J364" i="1"/>
  <c r="I364" i="1"/>
  <c r="H364" i="1"/>
  <c r="G364" i="1"/>
  <c r="D364" i="1"/>
  <c r="C364" i="1"/>
  <c r="M363" i="1"/>
  <c r="L363" i="1"/>
  <c r="K363" i="1"/>
  <c r="J363" i="1"/>
  <c r="I363" i="1"/>
  <c r="H363" i="1"/>
  <c r="G363" i="1"/>
  <c r="D363" i="1"/>
  <c r="C363" i="1"/>
  <c r="M362" i="1"/>
  <c r="L362" i="1"/>
  <c r="K362" i="1"/>
  <c r="J362" i="1"/>
  <c r="I362" i="1"/>
  <c r="H362" i="1"/>
  <c r="G362" i="1"/>
  <c r="D362" i="1"/>
  <c r="C362" i="1"/>
  <c r="M361" i="1"/>
  <c r="L361" i="1"/>
  <c r="K361" i="1"/>
  <c r="J361" i="1"/>
  <c r="I361" i="1"/>
  <c r="H361" i="1"/>
  <c r="G361" i="1"/>
  <c r="D361" i="1"/>
  <c r="C361" i="1"/>
  <c r="M360" i="1"/>
  <c r="L360" i="1"/>
  <c r="K360" i="1"/>
  <c r="J360" i="1"/>
  <c r="I360" i="1"/>
  <c r="H360" i="1"/>
  <c r="G360" i="1"/>
  <c r="D360" i="1"/>
  <c r="C360" i="1"/>
  <c r="M359" i="1"/>
  <c r="L359" i="1"/>
  <c r="K359" i="1"/>
  <c r="J359" i="1"/>
  <c r="I359" i="1"/>
  <c r="H359" i="1"/>
  <c r="G359" i="1"/>
  <c r="D359" i="1"/>
  <c r="C359" i="1"/>
  <c r="M358" i="1"/>
  <c r="L358" i="1"/>
  <c r="K358" i="1"/>
  <c r="J358" i="1"/>
  <c r="I358" i="1"/>
  <c r="H358" i="1"/>
  <c r="G358" i="1"/>
  <c r="D358" i="1"/>
  <c r="C358" i="1"/>
  <c r="M357" i="1"/>
  <c r="L357" i="1"/>
  <c r="K357" i="1"/>
  <c r="J357" i="1"/>
  <c r="I357" i="1"/>
  <c r="H357" i="1"/>
  <c r="G357" i="1"/>
  <c r="D357" i="1"/>
  <c r="C357" i="1"/>
  <c r="M356" i="1"/>
  <c r="L356" i="1"/>
  <c r="K356" i="1"/>
  <c r="J356" i="1"/>
  <c r="I356" i="1"/>
  <c r="H356" i="1"/>
  <c r="G356" i="1"/>
  <c r="D356" i="1"/>
  <c r="C356" i="1"/>
  <c r="M355" i="1"/>
  <c r="L355" i="1"/>
  <c r="K355" i="1"/>
  <c r="J355" i="1"/>
  <c r="I355" i="1"/>
  <c r="H355" i="1"/>
  <c r="G355" i="1"/>
  <c r="D355" i="1"/>
  <c r="C355" i="1"/>
  <c r="M354" i="1"/>
  <c r="L354" i="1"/>
  <c r="K354" i="1"/>
  <c r="J354" i="1"/>
  <c r="I354" i="1"/>
  <c r="H354" i="1"/>
  <c r="G354" i="1"/>
  <c r="D354" i="1"/>
  <c r="C354" i="1"/>
  <c r="M353" i="1"/>
  <c r="L353" i="1"/>
  <c r="K353" i="1"/>
  <c r="J353" i="1"/>
  <c r="I353" i="1"/>
  <c r="H353" i="1"/>
  <c r="G353" i="1"/>
  <c r="D353" i="1"/>
  <c r="C353" i="1"/>
  <c r="M352" i="1"/>
  <c r="L352" i="1"/>
  <c r="K352" i="1"/>
  <c r="J352" i="1"/>
  <c r="I352" i="1"/>
  <c r="H352" i="1"/>
  <c r="G352" i="1"/>
  <c r="D352" i="1"/>
  <c r="C352" i="1"/>
  <c r="M351" i="1"/>
  <c r="L351" i="1"/>
  <c r="K351" i="1"/>
  <c r="J351" i="1"/>
  <c r="I351" i="1"/>
  <c r="H351" i="1"/>
  <c r="G351" i="1"/>
  <c r="D351" i="1"/>
  <c r="C351" i="1"/>
  <c r="M350" i="1"/>
  <c r="L350" i="1"/>
  <c r="K350" i="1"/>
  <c r="J350" i="1"/>
  <c r="I350" i="1"/>
  <c r="H350" i="1"/>
  <c r="G350" i="1"/>
  <c r="D350" i="1"/>
  <c r="C350" i="1"/>
  <c r="M349" i="1"/>
  <c r="L349" i="1"/>
  <c r="K349" i="1"/>
  <c r="J349" i="1"/>
  <c r="I349" i="1"/>
  <c r="H349" i="1"/>
  <c r="G349" i="1"/>
  <c r="D349" i="1"/>
  <c r="C349" i="1"/>
  <c r="M348" i="1"/>
  <c r="L348" i="1"/>
  <c r="K348" i="1"/>
  <c r="J348" i="1"/>
  <c r="I348" i="1"/>
  <c r="H348" i="1"/>
  <c r="G348" i="1"/>
  <c r="D348" i="1"/>
  <c r="C348" i="1"/>
  <c r="M347" i="1"/>
  <c r="L347" i="1"/>
  <c r="K347" i="1"/>
  <c r="J347" i="1"/>
  <c r="I347" i="1"/>
  <c r="H347" i="1"/>
  <c r="G347" i="1"/>
  <c r="D347" i="1"/>
  <c r="C347" i="1"/>
  <c r="M346" i="1"/>
  <c r="L346" i="1"/>
  <c r="K346" i="1"/>
  <c r="J346" i="1"/>
  <c r="I346" i="1"/>
  <c r="H346" i="1"/>
  <c r="G346" i="1"/>
  <c r="D346" i="1"/>
  <c r="C346" i="1"/>
  <c r="M345" i="1"/>
  <c r="L345" i="1"/>
  <c r="K345" i="1"/>
  <c r="J345" i="1"/>
  <c r="I345" i="1"/>
  <c r="H345" i="1"/>
  <c r="G345" i="1"/>
  <c r="D345" i="1"/>
  <c r="C345" i="1"/>
  <c r="M344" i="1"/>
  <c r="L344" i="1"/>
  <c r="K344" i="1"/>
  <c r="J344" i="1"/>
  <c r="I344" i="1"/>
  <c r="H344" i="1"/>
  <c r="G344" i="1"/>
  <c r="D344" i="1"/>
  <c r="C344" i="1"/>
  <c r="M343" i="1"/>
  <c r="L343" i="1"/>
  <c r="K343" i="1"/>
  <c r="J343" i="1"/>
  <c r="I343" i="1"/>
  <c r="H343" i="1"/>
  <c r="G343" i="1"/>
  <c r="D343" i="1"/>
  <c r="C343" i="1"/>
  <c r="M342" i="1"/>
  <c r="L342" i="1"/>
  <c r="K342" i="1"/>
  <c r="J342" i="1"/>
  <c r="I342" i="1"/>
  <c r="H342" i="1"/>
  <c r="G342" i="1"/>
  <c r="D342" i="1"/>
  <c r="C342" i="1"/>
  <c r="M341" i="1"/>
  <c r="L341" i="1"/>
  <c r="K341" i="1"/>
  <c r="J341" i="1"/>
  <c r="I341" i="1"/>
  <c r="H341" i="1"/>
  <c r="G341" i="1"/>
  <c r="D341" i="1"/>
  <c r="C341" i="1"/>
  <c r="M340" i="1"/>
  <c r="L340" i="1"/>
  <c r="K340" i="1"/>
  <c r="J340" i="1"/>
  <c r="I340" i="1"/>
  <c r="H340" i="1"/>
  <c r="G340" i="1"/>
  <c r="D340" i="1"/>
  <c r="C340" i="1"/>
  <c r="M339" i="1"/>
  <c r="L339" i="1"/>
  <c r="K339" i="1"/>
  <c r="J339" i="1"/>
  <c r="I339" i="1"/>
  <c r="H339" i="1"/>
  <c r="G339" i="1"/>
  <c r="D339" i="1"/>
  <c r="C339" i="1"/>
  <c r="M338" i="1"/>
  <c r="L338" i="1"/>
  <c r="K338" i="1"/>
  <c r="J338" i="1"/>
  <c r="I338" i="1"/>
  <c r="H338" i="1"/>
  <c r="G338" i="1"/>
  <c r="D338" i="1"/>
  <c r="C338" i="1"/>
  <c r="M337" i="1"/>
  <c r="L337" i="1"/>
  <c r="K337" i="1"/>
  <c r="J337" i="1"/>
  <c r="I337" i="1"/>
  <c r="H337" i="1"/>
  <c r="G337" i="1"/>
  <c r="D337" i="1"/>
  <c r="C337" i="1"/>
  <c r="M336" i="1"/>
  <c r="L336" i="1"/>
  <c r="K336" i="1"/>
  <c r="J336" i="1"/>
  <c r="I336" i="1"/>
  <c r="H336" i="1"/>
  <c r="G336" i="1"/>
  <c r="D336" i="1"/>
  <c r="C336" i="1"/>
  <c r="M335" i="1"/>
  <c r="L335" i="1"/>
  <c r="K335" i="1"/>
  <c r="J335" i="1"/>
  <c r="I335" i="1"/>
  <c r="H335" i="1"/>
  <c r="G335" i="1"/>
  <c r="D335" i="1"/>
  <c r="C335" i="1"/>
  <c r="M334" i="1"/>
  <c r="L334" i="1"/>
  <c r="K334" i="1"/>
  <c r="J334" i="1"/>
  <c r="I334" i="1"/>
  <c r="H334" i="1"/>
  <c r="G334" i="1"/>
  <c r="D334" i="1"/>
  <c r="C334" i="1"/>
  <c r="M333" i="1"/>
  <c r="L333" i="1"/>
  <c r="K333" i="1"/>
  <c r="J333" i="1"/>
  <c r="I333" i="1"/>
  <c r="H333" i="1"/>
  <c r="G333" i="1"/>
  <c r="D333" i="1"/>
  <c r="C333" i="1"/>
  <c r="M332" i="1"/>
  <c r="L332" i="1"/>
  <c r="K332" i="1"/>
  <c r="J332" i="1"/>
  <c r="I332" i="1"/>
  <c r="H332" i="1"/>
  <c r="G332" i="1"/>
  <c r="D332" i="1"/>
  <c r="C332" i="1"/>
  <c r="M331" i="1"/>
  <c r="L331" i="1"/>
  <c r="K331" i="1"/>
  <c r="J331" i="1"/>
  <c r="I331" i="1"/>
  <c r="H331" i="1"/>
  <c r="G331" i="1"/>
  <c r="D331" i="1"/>
  <c r="C331" i="1"/>
  <c r="M330" i="1"/>
  <c r="L330" i="1"/>
  <c r="K330" i="1"/>
  <c r="J330" i="1"/>
  <c r="I330" i="1"/>
  <c r="H330" i="1"/>
  <c r="G330" i="1"/>
  <c r="D330" i="1"/>
  <c r="C330" i="1"/>
  <c r="M329" i="1"/>
  <c r="L329" i="1"/>
  <c r="K329" i="1"/>
  <c r="J329" i="1"/>
  <c r="I329" i="1"/>
  <c r="H329" i="1"/>
  <c r="G329" i="1"/>
  <c r="D329" i="1"/>
  <c r="C329" i="1"/>
  <c r="M328" i="1"/>
  <c r="L328" i="1"/>
  <c r="K328" i="1"/>
  <c r="J328" i="1"/>
  <c r="I328" i="1"/>
  <c r="H328" i="1"/>
  <c r="G328" i="1"/>
  <c r="D328" i="1"/>
  <c r="C328" i="1"/>
  <c r="M327" i="1"/>
  <c r="L327" i="1"/>
  <c r="K327" i="1"/>
  <c r="J327" i="1"/>
  <c r="I327" i="1"/>
  <c r="H327" i="1"/>
  <c r="G327" i="1"/>
  <c r="D327" i="1"/>
  <c r="C327" i="1"/>
  <c r="M326" i="1"/>
  <c r="L326" i="1"/>
  <c r="K326" i="1"/>
  <c r="J326" i="1"/>
  <c r="I326" i="1"/>
  <c r="H326" i="1"/>
  <c r="G326" i="1"/>
  <c r="D326" i="1"/>
  <c r="C326" i="1"/>
  <c r="M325" i="1"/>
  <c r="L325" i="1"/>
  <c r="K325" i="1"/>
  <c r="J325" i="1"/>
  <c r="I325" i="1"/>
  <c r="H325" i="1"/>
  <c r="G325" i="1"/>
  <c r="D325" i="1"/>
  <c r="C325" i="1"/>
  <c r="M324" i="1"/>
  <c r="L324" i="1"/>
  <c r="K324" i="1"/>
  <c r="J324" i="1"/>
  <c r="I324" i="1"/>
  <c r="H324" i="1"/>
  <c r="G324" i="1"/>
  <c r="D324" i="1"/>
  <c r="C324" i="1"/>
  <c r="M323" i="1"/>
  <c r="L323" i="1"/>
  <c r="K323" i="1"/>
  <c r="J323" i="1"/>
  <c r="I323" i="1"/>
  <c r="H323" i="1"/>
  <c r="G323" i="1"/>
  <c r="D323" i="1"/>
  <c r="C323" i="1"/>
  <c r="M322" i="1"/>
  <c r="L322" i="1"/>
  <c r="K322" i="1"/>
  <c r="J322" i="1"/>
  <c r="I322" i="1"/>
  <c r="H322" i="1"/>
  <c r="G322" i="1"/>
  <c r="D322" i="1"/>
  <c r="C322" i="1"/>
  <c r="M321" i="1"/>
  <c r="L321" i="1"/>
  <c r="K321" i="1"/>
  <c r="J321" i="1"/>
  <c r="I321" i="1"/>
  <c r="H321" i="1"/>
  <c r="G321" i="1"/>
  <c r="D321" i="1"/>
  <c r="C321" i="1"/>
  <c r="M320" i="1"/>
  <c r="L320" i="1"/>
  <c r="K320" i="1"/>
  <c r="J320" i="1"/>
  <c r="I320" i="1"/>
  <c r="H320" i="1"/>
  <c r="G320" i="1"/>
  <c r="D320" i="1"/>
  <c r="C320" i="1"/>
  <c r="M319" i="1"/>
  <c r="L319" i="1"/>
  <c r="K319" i="1"/>
  <c r="J319" i="1"/>
  <c r="I319" i="1"/>
  <c r="H319" i="1"/>
  <c r="G319" i="1"/>
  <c r="D319" i="1"/>
  <c r="C319" i="1"/>
  <c r="M318" i="1"/>
  <c r="L318" i="1"/>
  <c r="K318" i="1"/>
  <c r="J318" i="1"/>
  <c r="I318" i="1"/>
  <c r="H318" i="1"/>
  <c r="G318" i="1"/>
  <c r="D318" i="1"/>
  <c r="C318" i="1"/>
  <c r="M317" i="1"/>
  <c r="L317" i="1"/>
  <c r="K317" i="1"/>
  <c r="J317" i="1"/>
  <c r="I317" i="1"/>
  <c r="H317" i="1"/>
  <c r="G317" i="1"/>
  <c r="D317" i="1"/>
  <c r="C317" i="1"/>
  <c r="M316" i="1"/>
  <c r="L316" i="1"/>
  <c r="K316" i="1"/>
  <c r="J316" i="1"/>
  <c r="I316" i="1"/>
  <c r="H316" i="1"/>
  <c r="G316" i="1"/>
  <c r="D316" i="1"/>
  <c r="C316" i="1"/>
  <c r="M315" i="1"/>
  <c r="L315" i="1"/>
  <c r="K315" i="1"/>
  <c r="J315" i="1"/>
  <c r="I315" i="1"/>
  <c r="H315" i="1"/>
  <c r="G315" i="1"/>
  <c r="D315" i="1"/>
  <c r="C315" i="1"/>
  <c r="M314" i="1"/>
  <c r="L314" i="1"/>
  <c r="K314" i="1"/>
  <c r="J314" i="1"/>
  <c r="I314" i="1"/>
  <c r="H314" i="1"/>
  <c r="G314" i="1"/>
  <c r="D314" i="1"/>
  <c r="C314" i="1"/>
  <c r="M313" i="1"/>
  <c r="L313" i="1"/>
  <c r="K313" i="1"/>
  <c r="J313" i="1"/>
  <c r="I313" i="1"/>
  <c r="H313" i="1"/>
  <c r="G313" i="1"/>
  <c r="D313" i="1"/>
  <c r="C313" i="1"/>
  <c r="M312" i="1"/>
  <c r="L312" i="1"/>
  <c r="K312" i="1"/>
  <c r="J312" i="1"/>
  <c r="I312" i="1"/>
  <c r="H312" i="1"/>
  <c r="G312" i="1"/>
  <c r="D312" i="1"/>
  <c r="C312" i="1"/>
  <c r="M311" i="1"/>
  <c r="L311" i="1"/>
  <c r="K311" i="1"/>
  <c r="J311" i="1"/>
  <c r="I311" i="1"/>
  <c r="H311" i="1"/>
  <c r="G311" i="1"/>
  <c r="D311" i="1"/>
  <c r="C311" i="1"/>
  <c r="M310" i="1"/>
  <c r="L310" i="1"/>
  <c r="K310" i="1"/>
  <c r="J310" i="1"/>
  <c r="I310" i="1"/>
  <c r="H310" i="1"/>
  <c r="G310" i="1"/>
  <c r="D310" i="1"/>
  <c r="C310" i="1"/>
  <c r="M309" i="1"/>
  <c r="L309" i="1"/>
  <c r="K309" i="1"/>
  <c r="J309" i="1"/>
  <c r="I309" i="1"/>
  <c r="H309" i="1"/>
  <c r="G309" i="1"/>
  <c r="D309" i="1"/>
  <c r="C309" i="1"/>
  <c r="M308" i="1"/>
  <c r="L308" i="1"/>
  <c r="K308" i="1"/>
  <c r="J308" i="1"/>
  <c r="I308" i="1"/>
  <c r="H308" i="1"/>
  <c r="G308" i="1"/>
  <c r="D308" i="1"/>
  <c r="C308" i="1"/>
  <c r="M307" i="1"/>
  <c r="L307" i="1"/>
  <c r="K307" i="1"/>
  <c r="J307" i="1"/>
  <c r="I307" i="1"/>
  <c r="H307" i="1"/>
  <c r="G307" i="1"/>
  <c r="D307" i="1"/>
  <c r="C307" i="1"/>
  <c r="M306" i="1"/>
  <c r="L306" i="1"/>
  <c r="K306" i="1"/>
  <c r="J306" i="1"/>
  <c r="I306" i="1"/>
  <c r="H306" i="1"/>
  <c r="G306" i="1"/>
  <c r="D306" i="1"/>
  <c r="C306" i="1"/>
  <c r="M305" i="1"/>
  <c r="L305" i="1"/>
  <c r="K305" i="1"/>
  <c r="J305" i="1"/>
  <c r="I305" i="1"/>
  <c r="H305" i="1"/>
  <c r="G305" i="1"/>
  <c r="D305" i="1"/>
  <c r="C305" i="1"/>
  <c r="M304" i="1"/>
  <c r="L304" i="1"/>
  <c r="K304" i="1"/>
  <c r="J304" i="1"/>
  <c r="I304" i="1"/>
  <c r="H304" i="1"/>
  <c r="G304" i="1"/>
  <c r="D304" i="1"/>
  <c r="C304" i="1"/>
  <c r="M303" i="1"/>
  <c r="L303" i="1"/>
  <c r="K303" i="1"/>
  <c r="J303" i="1"/>
  <c r="I303" i="1"/>
  <c r="H303" i="1"/>
  <c r="G303" i="1"/>
  <c r="D303" i="1"/>
  <c r="C303" i="1"/>
  <c r="M302" i="1"/>
  <c r="L302" i="1"/>
  <c r="K302" i="1"/>
  <c r="J302" i="1"/>
  <c r="I302" i="1"/>
  <c r="H302" i="1"/>
  <c r="G302" i="1"/>
  <c r="D302" i="1"/>
  <c r="C302" i="1"/>
  <c r="M301" i="1"/>
  <c r="L301" i="1"/>
  <c r="K301" i="1"/>
  <c r="J301" i="1"/>
  <c r="I301" i="1"/>
  <c r="H301" i="1"/>
  <c r="G301" i="1"/>
  <c r="D301" i="1"/>
  <c r="C301" i="1"/>
  <c r="M300" i="1"/>
  <c r="L300" i="1"/>
  <c r="K300" i="1"/>
  <c r="J300" i="1"/>
  <c r="I300" i="1"/>
  <c r="H300" i="1"/>
  <c r="G300" i="1"/>
  <c r="D300" i="1"/>
  <c r="C300" i="1"/>
  <c r="M299" i="1"/>
  <c r="L299" i="1"/>
  <c r="K299" i="1"/>
  <c r="J299" i="1"/>
  <c r="I299" i="1"/>
  <c r="H299" i="1"/>
  <c r="G299" i="1"/>
  <c r="D299" i="1"/>
  <c r="C299" i="1"/>
  <c r="M298" i="1"/>
  <c r="L298" i="1"/>
  <c r="K298" i="1"/>
  <c r="J298" i="1"/>
  <c r="I298" i="1"/>
  <c r="H298" i="1"/>
  <c r="G298" i="1"/>
  <c r="D298" i="1"/>
  <c r="C298" i="1"/>
  <c r="M297" i="1"/>
  <c r="L297" i="1"/>
  <c r="K297" i="1"/>
  <c r="J297" i="1"/>
  <c r="I297" i="1"/>
  <c r="H297" i="1"/>
  <c r="G297" i="1"/>
  <c r="D297" i="1"/>
  <c r="C297" i="1"/>
  <c r="M296" i="1"/>
  <c r="L296" i="1"/>
  <c r="K296" i="1"/>
  <c r="J296" i="1"/>
  <c r="I296" i="1"/>
  <c r="H296" i="1"/>
  <c r="G296" i="1"/>
  <c r="D296" i="1"/>
  <c r="C296" i="1"/>
  <c r="M295" i="1"/>
  <c r="L295" i="1"/>
  <c r="K295" i="1"/>
  <c r="J295" i="1"/>
  <c r="I295" i="1"/>
  <c r="H295" i="1"/>
  <c r="G295" i="1"/>
  <c r="D295" i="1"/>
  <c r="C295" i="1"/>
  <c r="M294" i="1"/>
  <c r="L294" i="1"/>
  <c r="K294" i="1"/>
  <c r="J294" i="1"/>
  <c r="I294" i="1"/>
  <c r="H294" i="1"/>
  <c r="G294" i="1"/>
  <c r="D294" i="1"/>
  <c r="C294" i="1"/>
  <c r="M293" i="1"/>
  <c r="L293" i="1"/>
  <c r="K293" i="1"/>
  <c r="J293" i="1"/>
  <c r="I293" i="1"/>
  <c r="H293" i="1"/>
  <c r="G293" i="1"/>
  <c r="D293" i="1"/>
  <c r="C293" i="1"/>
  <c r="M292" i="1"/>
  <c r="L292" i="1"/>
  <c r="K292" i="1"/>
  <c r="J292" i="1"/>
  <c r="I292" i="1"/>
  <c r="H292" i="1"/>
  <c r="G292" i="1"/>
  <c r="D292" i="1"/>
  <c r="C292" i="1"/>
  <c r="M291" i="1"/>
  <c r="L291" i="1"/>
  <c r="K291" i="1"/>
  <c r="J291" i="1"/>
  <c r="I291" i="1"/>
  <c r="H291" i="1"/>
  <c r="G291" i="1"/>
  <c r="D291" i="1"/>
  <c r="C291" i="1"/>
  <c r="M290" i="1"/>
  <c r="L290" i="1"/>
  <c r="K290" i="1"/>
  <c r="J290" i="1"/>
  <c r="I290" i="1"/>
  <c r="H290" i="1"/>
  <c r="G290" i="1"/>
  <c r="D290" i="1"/>
  <c r="C290" i="1"/>
  <c r="M289" i="1"/>
  <c r="L289" i="1"/>
  <c r="K289" i="1"/>
  <c r="J289" i="1"/>
  <c r="I289" i="1"/>
  <c r="H289" i="1"/>
  <c r="G289" i="1"/>
  <c r="D289" i="1"/>
  <c r="C289" i="1"/>
  <c r="M288" i="1"/>
  <c r="L288" i="1"/>
  <c r="K288" i="1"/>
  <c r="J288" i="1"/>
  <c r="I288" i="1"/>
  <c r="H288" i="1"/>
  <c r="G288" i="1"/>
  <c r="D288" i="1"/>
  <c r="C288" i="1"/>
  <c r="M287" i="1"/>
  <c r="L287" i="1"/>
  <c r="K287" i="1"/>
  <c r="J287" i="1"/>
  <c r="I287" i="1"/>
  <c r="H287" i="1"/>
  <c r="G287" i="1"/>
  <c r="D287" i="1"/>
  <c r="C287" i="1"/>
  <c r="M286" i="1"/>
  <c r="L286" i="1"/>
  <c r="K286" i="1"/>
  <c r="J286" i="1"/>
  <c r="I286" i="1"/>
  <c r="H286" i="1"/>
  <c r="G286" i="1"/>
  <c r="D286" i="1"/>
  <c r="C286" i="1"/>
  <c r="M285" i="1"/>
  <c r="L285" i="1"/>
  <c r="K285" i="1"/>
  <c r="J285" i="1"/>
  <c r="I285" i="1"/>
  <c r="H285" i="1"/>
  <c r="G285" i="1"/>
  <c r="D285" i="1"/>
  <c r="C285" i="1"/>
  <c r="M284" i="1"/>
  <c r="L284" i="1"/>
  <c r="K284" i="1"/>
  <c r="J284" i="1"/>
  <c r="I284" i="1"/>
  <c r="H284" i="1"/>
  <c r="G284" i="1"/>
  <c r="D284" i="1"/>
  <c r="C284" i="1"/>
  <c r="M283" i="1"/>
  <c r="L283" i="1"/>
  <c r="K283" i="1"/>
  <c r="J283" i="1"/>
  <c r="I283" i="1"/>
  <c r="H283" i="1"/>
  <c r="G283" i="1"/>
  <c r="D283" i="1"/>
  <c r="C283" i="1"/>
  <c r="M282" i="1"/>
  <c r="L282" i="1"/>
  <c r="K282" i="1"/>
  <c r="J282" i="1"/>
  <c r="I282" i="1"/>
  <c r="H282" i="1"/>
  <c r="G282" i="1"/>
  <c r="D282" i="1"/>
  <c r="C282" i="1"/>
  <c r="M281" i="1"/>
  <c r="L281" i="1"/>
  <c r="K281" i="1"/>
  <c r="J281" i="1"/>
  <c r="I281" i="1"/>
  <c r="H281" i="1"/>
  <c r="G281" i="1"/>
  <c r="D281" i="1"/>
  <c r="C281" i="1"/>
  <c r="M280" i="1"/>
  <c r="L280" i="1"/>
  <c r="K280" i="1"/>
  <c r="J280" i="1"/>
  <c r="I280" i="1"/>
  <c r="H280" i="1"/>
  <c r="G280" i="1"/>
  <c r="D280" i="1"/>
  <c r="C280" i="1"/>
  <c r="M279" i="1"/>
  <c r="L279" i="1"/>
  <c r="K279" i="1"/>
  <c r="J279" i="1"/>
  <c r="I279" i="1"/>
  <c r="H279" i="1"/>
  <c r="G279" i="1"/>
  <c r="D279" i="1"/>
  <c r="C279" i="1"/>
  <c r="M278" i="1"/>
  <c r="L278" i="1"/>
  <c r="K278" i="1"/>
  <c r="J278" i="1"/>
  <c r="I278" i="1"/>
  <c r="H278" i="1"/>
  <c r="G278" i="1"/>
  <c r="D278" i="1"/>
  <c r="C278" i="1"/>
  <c r="M277" i="1"/>
  <c r="L277" i="1"/>
  <c r="K277" i="1"/>
  <c r="J277" i="1"/>
  <c r="I277" i="1"/>
  <c r="H277" i="1"/>
  <c r="G277" i="1"/>
  <c r="D277" i="1"/>
  <c r="C277" i="1"/>
  <c r="M276" i="1"/>
  <c r="L276" i="1"/>
  <c r="K276" i="1"/>
  <c r="J276" i="1"/>
  <c r="I276" i="1"/>
  <c r="H276" i="1"/>
  <c r="G276" i="1"/>
  <c r="D276" i="1"/>
  <c r="C276" i="1"/>
  <c r="M275" i="1"/>
  <c r="L275" i="1"/>
  <c r="K275" i="1"/>
  <c r="J275" i="1"/>
  <c r="I275" i="1"/>
  <c r="H275" i="1"/>
  <c r="G275" i="1"/>
  <c r="D275" i="1"/>
  <c r="C275" i="1"/>
  <c r="M274" i="1"/>
  <c r="L274" i="1"/>
  <c r="K274" i="1"/>
  <c r="J274" i="1"/>
  <c r="I274" i="1"/>
  <c r="H274" i="1"/>
  <c r="G274" i="1"/>
  <c r="D274" i="1"/>
  <c r="C274" i="1"/>
  <c r="M273" i="1"/>
  <c r="L273" i="1"/>
  <c r="K273" i="1"/>
  <c r="J273" i="1"/>
  <c r="I273" i="1"/>
  <c r="H273" i="1"/>
  <c r="G273" i="1"/>
  <c r="D273" i="1"/>
  <c r="C273" i="1"/>
  <c r="M272" i="1"/>
  <c r="L272" i="1"/>
  <c r="K272" i="1"/>
  <c r="J272" i="1"/>
  <c r="I272" i="1"/>
  <c r="H272" i="1"/>
  <c r="G272" i="1"/>
  <c r="D272" i="1"/>
  <c r="C272" i="1"/>
  <c r="M271" i="1"/>
  <c r="L271" i="1"/>
  <c r="K271" i="1"/>
  <c r="J271" i="1"/>
  <c r="I271" i="1"/>
  <c r="H271" i="1"/>
  <c r="G271" i="1"/>
  <c r="D271" i="1"/>
  <c r="C271" i="1"/>
  <c r="M270" i="1"/>
  <c r="L270" i="1"/>
  <c r="K270" i="1"/>
  <c r="J270" i="1"/>
  <c r="I270" i="1"/>
  <c r="H270" i="1"/>
  <c r="G270" i="1"/>
  <c r="D270" i="1"/>
  <c r="C270" i="1"/>
  <c r="M269" i="1"/>
  <c r="L269" i="1"/>
  <c r="K269" i="1"/>
  <c r="J269" i="1"/>
  <c r="I269" i="1"/>
  <c r="H269" i="1"/>
  <c r="G269" i="1"/>
  <c r="D269" i="1"/>
  <c r="C269" i="1"/>
  <c r="M268" i="1"/>
  <c r="L268" i="1"/>
  <c r="K268" i="1"/>
  <c r="J268" i="1"/>
  <c r="I268" i="1"/>
  <c r="H268" i="1"/>
  <c r="G268" i="1"/>
  <c r="D268" i="1"/>
  <c r="C268" i="1"/>
  <c r="M267" i="1"/>
  <c r="L267" i="1"/>
  <c r="K267" i="1"/>
  <c r="J267" i="1"/>
  <c r="I267" i="1"/>
  <c r="H267" i="1"/>
  <c r="G267" i="1"/>
  <c r="D267" i="1"/>
  <c r="C267" i="1"/>
  <c r="M266" i="1"/>
  <c r="L266" i="1"/>
  <c r="K266" i="1"/>
  <c r="J266" i="1"/>
  <c r="I266" i="1"/>
  <c r="H266" i="1"/>
  <c r="G266" i="1"/>
  <c r="D266" i="1"/>
  <c r="C266" i="1"/>
  <c r="M265" i="1"/>
  <c r="L265" i="1"/>
  <c r="K265" i="1"/>
  <c r="J265" i="1"/>
  <c r="I265" i="1"/>
  <c r="H265" i="1"/>
  <c r="G265" i="1"/>
  <c r="D265" i="1"/>
  <c r="C265" i="1"/>
  <c r="M264" i="1"/>
  <c r="L264" i="1"/>
  <c r="K264" i="1"/>
  <c r="J264" i="1"/>
  <c r="I264" i="1"/>
  <c r="H264" i="1"/>
  <c r="G264" i="1"/>
  <c r="D264" i="1"/>
  <c r="C264" i="1"/>
  <c r="M263" i="1"/>
  <c r="L263" i="1"/>
  <c r="K263" i="1"/>
  <c r="J263" i="1"/>
  <c r="I263" i="1"/>
  <c r="H263" i="1"/>
  <c r="G263" i="1"/>
  <c r="D263" i="1"/>
  <c r="C263" i="1"/>
  <c r="M262" i="1"/>
  <c r="L262" i="1"/>
  <c r="K262" i="1"/>
  <c r="J262" i="1"/>
  <c r="I262" i="1"/>
  <c r="H262" i="1"/>
  <c r="G262" i="1"/>
  <c r="D262" i="1"/>
  <c r="C262" i="1"/>
  <c r="M261" i="1"/>
  <c r="L261" i="1"/>
  <c r="K261" i="1"/>
  <c r="J261" i="1"/>
  <c r="I261" i="1"/>
  <c r="H261" i="1"/>
  <c r="G261" i="1"/>
  <c r="D261" i="1"/>
  <c r="C261" i="1"/>
  <c r="M260" i="1"/>
  <c r="L260" i="1"/>
  <c r="K260" i="1"/>
  <c r="J260" i="1"/>
  <c r="I260" i="1"/>
  <c r="H260" i="1"/>
  <c r="G260" i="1"/>
  <c r="D260" i="1"/>
  <c r="C260" i="1"/>
  <c r="M259" i="1"/>
  <c r="L259" i="1"/>
  <c r="K259" i="1"/>
  <c r="J259" i="1"/>
  <c r="I259" i="1"/>
  <c r="H259" i="1"/>
  <c r="G259" i="1"/>
  <c r="D259" i="1"/>
  <c r="C259" i="1"/>
  <c r="M258" i="1"/>
  <c r="L258" i="1"/>
  <c r="K258" i="1"/>
  <c r="J258" i="1"/>
  <c r="I258" i="1"/>
  <c r="H258" i="1"/>
  <c r="G258" i="1"/>
  <c r="D258" i="1"/>
  <c r="C258" i="1"/>
  <c r="M257" i="1"/>
  <c r="L257" i="1"/>
  <c r="K257" i="1"/>
  <c r="J257" i="1"/>
  <c r="I257" i="1"/>
  <c r="H257" i="1"/>
  <c r="G257" i="1"/>
  <c r="D257" i="1"/>
  <c r="C257" i="1"/>
  <c r="M256" i="1"/>
  <c r="L256" i="1"/>
  <c r="K256" i="1"/>
  <c r="J256" i="1"/>
  <c r="I256" i="1"/>
  <c r="H256" i="1"/>
  <c r="G256" i="1"/>
  <c r="D256" i="1"/>
  <c r="C256" i="1"/>
  <c r="M255" i="1"/>
  <c r="L255" i="1"/>
  <c r="K255" i="1"/>
  <c r="J255" i="1"/>
  <c r="I255" i="1"/>
  <c r="H255" i="1"/>
  <c r="G255" i="1"/>
  <c r="D255" i="1"/>
  <c r="C255" i="1"/>
  <c r="M254" i="1"/>
  <c r="L254" i="1"/>
  <c r="K254" i="1"/>
  <c r="J254" i="1"/>
  <c r="I254" i="1"/>
  <c r="H254" i="1"/>
  <c r="G254" i="1"/>
  <c r="D254" i="1"/>
  <c r="C254" i="1"/>
  <c r="M253" i="1"/>
  <c r="L253" i="1"/>
  <c r="K253" i="1"/>
  <c r="J253" i="1"/>
  <c r="I253" i="1"/>
  <c r="H253" i="1"/>
  <c r="G253" i="1"/>
  <c r="D253" i="1"/>
  <c r="C253" i="1"/>
  <c r="M252" i="1"/>
  <c r="L252" i="1"/>
  <c r="K252" i="1"/>
  <c r="J252" i="1"/>
  <c r="I252" i="1"/>
  <c r="H252" i="1"/>
  <c r="G252" i="1"/>
  <c r="D252" i="1"/>
  <c r="C252" i="1"/>
  <c r="M251" i="1"/>
  <c r="L251" i="1"/>
  <c r="K251" i="1"/>
  <c r="J251" i="1"/>
  <c r="I251" i="1"/>
  <c r="H251" i="1"/>
  <c r="G251" i="1"/>
  <c r="D251" i="1"/>
  <c r="C251" i="1"/>
  <c r="M250" i="1"/>
  <c r="L250" i="1"/>
  <c r="K250" i="1"/>
  <c r="J250" i="1"/>
  <c r="I250" i="1"/>
  <c r="H250" i="1"/>
  <c r="G250" i="1"/>
  <c r="D250" i="1"/>
  <c r="C250" i="1"/>
  <c r="M249" i="1"/>
  <c r="L249" i="1"/>
  <c r="K249" i="1"/>
  <c r="J249" i="1"/>
  <c r="I249" i="1"/>
  <c r="H249" i="1"/>
  <c r="G249" i="1"/>
  <c r="D249" i="1"/>
  <c r="C249" i="1"/>
  <c r="M248" i="1"/>
  <c r="L248" i="1"/>
  <c r="K248" i="1"/>
  <c r="J248" i="1"/>
  <c r="I248" i="1"/>
  <c r="H248" i="1"/>
  <c r="G248" i="1"/>
  <c r="D248" i="1"/>
  <c r="C248" i="1"/>
  <c r="M247" i="1"/>
  <c r="L247" i="1"/>
  <c r="K247" i="1"/>
  <c r="J247" i="1"/>
  <c r="I247" i="1"/>
  <c r="H247" i="1"/>
  <c r="G247" i="1"/>
  <c r="D247" i="1"/>
  <c r="C247" i="1"/>
  <c r="M246" i="1"/>
  <c r="L246" i="1"/>
  <c r="K246" i="1"/>
  <c r="J246" i="1"/>
  <c r="I246" i="1"/>
  <c r="H246" i="1"/>
  <c r="G246" i="1"/>
  <c r="D246" i="1"/>
  <c r="C246" i="1"/>
  <c r="M245" i="1"/>
  <c r="L245" i="1"/>
  <c r="K245" i="1"/>
  <c r="J245" i="1"/>
  <c r="I245" i="1"/>
  <c r="H245" i="1"/>
  <c r="G245" i="1"/>
  <c r="D245" i="1"/>
  <c r="C245" i="1"/>
  <c r="M244" i="1"/>
  <c r="L244" i="1"/>
  <c r="K244" i="1"/>
  <c r="J244" i="1"/>
  <c r="I244" i="1"/>
  <c r="H244" i="1"/>
  <c r="G244" i="1"/>
  <c r="D244" i="1"/>
  <c r="C244" i="1"/>
  <c r="M243" i="1"/>
  <c r="L243" i="1"/>
  <c r="K243" i="1"/>
  <c r="J243" i="1"/>
  <c r="I243" i="1"/>
  <c r="H243" i="1"/>
  <c r="G243" i="1"/>
  <c r="D243" i="1"/>
  <c r="C243" i="1"/>
  <c r="M242" i="1"/>
  <c r="L242" i="1"/>
  <c r="K242" i="1"/>
  <c r="J242" i="1"/>
  <c r="I242" i="1"/>
  <c r="H242" i="1"/>
  <c r="G242" i="1"/>
  <c r="D242" i="1"/>
  <c r="C242" i="1"/>
  <c r="M241" i="1"/>
  <c r="L241" i="1"/>
  <c r="K241" i="1"/>
  <c r="J241" i="1"/>
  <c r="I241" i="1"/>
  <c r="H241" i="1"/>
  <c r="G241" i="1"/>
  <c r="D241" i="1"/>
  <c r="C241" i="1"/>
  <c r="M240" i="1"/>
  <c r="L240" i="1"/>
  <c r="K240" i="1"/>
  <c r="J240" i="1"/>
  <c r="I240" i="1"/>
  <c r="H240" i="1"/>
  <c r="G240" i="1"/>
  <c r="D240" i="1"/>
  <c r="C240" i="1"/>
  <c r="M239" i="1"/>
  <c r="L239" i="1"/>
  <c r="K239" i="1"/>
  <c r="J239" i="1"/>
  <c r="I239" i="1"/>
  <c r="H239" i="1"/>
  <c r="G239" i="1"/>
  <c r="D239" i="1"/>
  <c r="C239" i="1"/>
  <c r="M238" i="1"/>
  <c r="L238" i="1"/>
  <c r="K238" i="1"/>
  <c r="J238" i="1"/>
  <c r="I238" i="1"/>
  <c r="H238" i="1"/>
  <c r="G238" i="1"/>
  <c r="D238" i="1"/>
  <c r="C238" i="1"/>
  <c r="M237" i="1"/>
  <c r="L237" i="1"/>
  <c r="K237" i="1"/>
  <c r="J237" i="1"/>
  <c r="I237" i="1"/>
  <c r="H237" i="1"/>
  <c r="G237" i="1"/>
  <c r="D237" i="1"/>
  <c r="C237" i="1"/>
  <c r="M236" i="1"/>
  <c r="L236" i="1"/>
  <c r="K236" i="1"/>
  <c r="J236" i="1"/>
  <c r="I236" i="1"/>
  <c r="H236" i="1"/>
  <c r="G236" i="1"/>
  <c r="D236" i="1"/>
  <c r="C236" i="1"/>
  <c r="M235" i="1"/>
  <c r="L235" i="1"/>
  <c r="K235" i="1"/>
  <c r="J235" i="1"/>
  <c r="I235" i="1"/>
  <c r="H235" i="1"/>
  <c r="G235" i="1"/>
  <c r="D235" i="1"/>
  <c r="C235" i="1"/>
  <c r="M234" i="1"/>
  <c r="L234" i="1"/>
  <c r="K234" i="1"/>
  <c r="J234" i="1"/>
  <c r="I234" i="1"/>
  <c r="H234" i="1"/>
  <c r="G234" i="1"/>
  <c r="D234" i="1"/>
  <c r="C234" i="1"/>
  <c r="M233" i="1"/>
  <c r="L233" i="1"/>
  <c r="K233" i="1"/>
  <c r="J233" i="1"/>
  <c r="I233" i="1"/>
  <c r="H233" i="1"/>
  <c r="G233" i="1"/>
  <c r="D233" i="1"/>
  <c r="C233" i="1"/>
  <c r="M232" i="1"/>
  <c r="L232" i="1"/>
  <c r="K232" i="1"/>
  <c r="J232" i="1"/>
  <c r="I232" i="1"/>
  <c r="H232" i="1"/>
  <c r="G232" i="1"/>
  <c r="D232" i="1"/>
  <c r="C232" i="1"/>
  <c r="M231" i="1"/>
  <c r="L231" i="1"/>
  <c r="K231" i="1"/>
  <c r="J231" i="1"/>
  <c r="I231" i="1"/>
  <c r="H231" i="1"/>
  <c r="G231" i="1"/>
  <c r="D231" i="1"/>
  <c r="C231" i="1"/>
  <c r="M230" i="1"/>
  <c r="L230" i="1"/>
  <c r="K230" i="1"/>
  <c r="J230" i="1"/>
  <c r="I230" i="1"/>
  <c r="H230" i="1"/>
  <c r="G230" i="1"/>
  <c r="D230" i="1"/>
  <c r="C230" i="1"/>
  <c r="M229" i="1"/>
  <c r="L229" i="1"/>
  <c r="K229" i="1"/>
  <c r="J229" i="1"/>
  <c r="I229" i="1"/>
  <c r="H229" i="1"/>
  <c r="G229" i="1"/>
  <c r="D229" i="1"/>
  <c r="C229" i="1"/>
  <c r="M228" i="1"/>
  <c r="L228" i="1"/>
  <c r="K228" i="1"/>
  <c r="J228" i="1"/>
  <c r="I228" i="1"/>
  <c r="H228" i="1"/>
  <c r="G228" i="1"/>
  <c r="D228" i="1"/>
  <c r="C228" i="1"/>
  <c r="M227" i="1"/>
  <c r="L227" i="1"/>
  <c r="K227" i="1"/>
  <c r="J227" i="1"/>
  <c r="I227" i="1"/>
  <c r="H227" i="1"/>
  <c r="G227" i="1"/>
  <c r="D227" i="1"/>
  <c r="C227" i="1"/>
  <c r="M226" i="1"/>
  <c r="L226" i="1"/>
  <c r="K226" i="1"/>
  <c r="J226" i="1"/>
  <c r="I226" i="1"/>
  <c r="H226" i="1"/>
  <c r="G226" i="1"/>
  <c r="D226" i="1"/>
  <c r="C226" i="1"/>
  <c r="M225" i="1"/>
  <c r="L225" i="1"/>
  <c r="K225" i="1"/>
  <c r="J225" i="1"/>
  <c r="I225" i="1"/>
  <c r="H225" i="1"/>
  <c r="G225" i="1"/>
  <c r="D225" i="1"/>
  <c r="C225" i="1"/>
  <c r="M224" i="1"/>
  <c r="L224" i="1"/>
  <c r="K224" i="1"/>
  <c r="J224" i="1"/>
  <c r="I224" i="1"/>
  <c r="H224" i="1"/>
  <c r="G224" i="1"/>
  <c r="D224" i="1"/>
  <c r="C224" i="1"/>
  <c r="M223" i="1"/>
  <c r="L223" i="1"/>
  <c r="K223" i="1"/>
  <c r="J223" i="1"/>
  <c r="I223" i="1"/>
  <c r="H223" i="1"/>
  <c r="G223" i="1"/>
  <c r="D223" i="1"/>
  <c r="C223" i="1"/>
  <c r="M222" i="1"/>
  <c r="L222" i="1"/>
  <c r="K222" i="1"/>
  <c r="J222" i="1"/>
  <c r="I222" i="1"/>
  <c r="H222" i="1"/>
  <c r="G222" i="1"/>
  <c r="D222" i="1"/>
  <c r="C222" i="1"/>
  <c r="M221" i="1"/>
  <c r="L221" i="1"/>
  <c r="K221" i="1"/>
  <c r="J221" i="1"/>
  <c r="I221" i="1"/>
  <c r="H221" i="1"/>
  <c r="G221" i="1"/>
  <c r="D221" i="1"/>
  <c r="C221" i="1"/>
  <c r="M220" i="1"/>
  <c r="L220" i="1"/>
  <c r="K220" i="1"/>
  <c r="J220" i="1"/>
  <c r="I220" i="1"/>
  <c r="H220" i="1"/>
  <c r="G220" i="1"/>
  <c r="D220" i="1"/>
  <c r="C220" i="1"/>
  <c r="M219" i="1"/>
  <c r="L219" i="1"/>
  <c r="K219" i="1"/>
  <c r="J219" i="1"/>
  <c r="I219" i="1"/>
  <c r="H219" i="1"/>
  <c r="G219" i="1"/>
  <c r="D219" i="1"/>
  <c r="C219" i="1"/>
  <c r="M218" i="1"/>
  <c r="L218" i="1"/>
  <c r="K218" i="1"/>
  <c r="J218" i="1"/>
  <c r="I218" i="1"/>
  <c r="H218" i="1"/>
  <c r="G218" i="1"/>
  <c r="D218" i="1"/>
  <c r="C218" i="1"/>
  <c r="M217" i="1"/>
  <c r="L217" i="1"/>
  <c r="K217" i="1"/>
  <c r="J217" i="1"/>
  <c r="I217" i="1"/>
  <c r="H217" i="1"/>
  <c r="G217" i="1"/>
  <c r="D217" i="1"/>
  <c r="C217" i="1"/>
  <c r="M216" i="1"/>
  <c r="L216" i="1"/>
  <c r="K216" i="1"/>
  <c r="J216" i="1"/>
  <c r="I216" i="1"/>
  <c r="H216" i="1"/>
  <c r="G216" i="1"/>
  <c r="D216" i="1"/>
  <c r="C216" i="1"/>
  <c r="M215" i="1"/>
  <c r="L215" i="1"/>
  <c r="K215" i="1"/>
  <c r="J215" i="1"/>
  <c r="I215" i="1"/>
  <c r="H215" i="1"/>
  <c r="G215" i="1"/>
  <c r="D215" i="1"/>
  <c r="C215" i="1"/>
  <c r="M214" i="1"/>
  <c r="L214" i="1"/>
  <c r="K214" i="1"/>
  <c r="J214" i="1"/>
  <c r="I214" i="1"/>
  <c r="H214" i="1"/>
  <c r="G214" i="1"/>
  <c r="D214" i="1"/>
  <c r="C214" i="1"/>
  <c r="M213" i="1"/>
  <c r="L213" i="1"/>
  <c r="K213" i="1"/>
  <c r="J213" i="1"/>
  <c r="I213" i="1"/>
  <c r="H213" i="1"/>
  <c r="G213" i="1"/>
  <c r="D213" i="1"/>
  <c r="C213" i="1"/>
  <c r="M212" i="1"/>
  <c r="L212" i="1"/>
  <c r="K212" i="1"/>
  <c r="J212" i="1"/>
  <c r="I212" i="1"/>
  <c r="H212" i="1"/>
  <c r="G212" i="1"/>
  <c r="D212" i="1"/>
  <c r="C212" i="1"/>
  <c r="M211" i="1"/>
  <c r="L211" i="1"/>
  <c r="K211" i="1"/>
  <c r="J211" i="1"/>
  <c r="I211" i="1"/>
  <c r="H211" i="1"/>
  <c r="G211" i="1"/>
  <c r="D211" i="1"/>
  <c r="C211" i="1"/>
  <c r="M210" i="1"/>
  <c r="L210" i="1"/>
  <c r="K210" i="1"/>
  <c r="J210" i="1"/>
  <c r="I210" i="1"/>
  <c r="H210" i="1"/>
  <c r="G210" i="1"/>
  <c r="D210" i="1"/>
  <c r="C210" i="1"/>
  <c r="M209" i="1"/>
  <c r="L209" i="1"/>
  <c r="K209" i="1"/>
  <c r="J209" i="1"/>
  <c r="I209" i="1"/>
  <c r="H209" i="1"/>
  <c r="G209" i="1"/>
  <c r="D209" i="1"/>
  <c r="C209" i="1"/>
  <c r="M208" i="1"/>
  <c r="L208" i="1"/>
  <c r="K208" i="1"/>
  <c r="J208" i="1"/>
  <c r="I208" i="1"/>
  <c r="H208" i="1"/>
  <c r="G208" i="1"/>
  <c r="D208" i="1"/>
  <c r="C208" i="1"/>
  <c r="M207" i="1"/>
  <c r="L207" i="1"/>
  <c r="K207" i="1"/>
  <c r="J207" i="1"/>
  <c r="I207" i="1"/>
  <c r="H207" i="1"/>
  <c r="G207" i="1"/>
  <c r="D207" i="1"/>
  <c r="C207" i="1"/>
  <c r="M206" i="1"/>
  <c r="L206" i="1"/>
  <c r="K206" i="1"/>
  <c r="J206" i="1"/>
  <c r="I206" i="1"/>
  <c r="H206" i="1"/>
  <c r="G206" i="1"/>
  <c r="D206" i="1"/>
  <c r="C206" i="1"/>
  <c r="M205" i="1"/>
  <c r="L205" i="1"/>
  <c r="K205" i="1"/>
  <c r="J205" i="1"/>
  <c r="I205" i="1"/>
  <c r="H205" i="1"/>
  <c r="G205" i="1"/>
  <c r="D205" i="1"/>
  <c r="C205" i="1"/>
  <c r="M204" i="1"/>
  <c r="L204" i="1"/>
  <c r="K204" i="1"/>
  <c r="J204" i="1"/>
  <c r="I204" i="1"/>
  <c r="H204" i="1"/>
  <c r="G204" i="1"/>
  <c r="D204" i="1"/>
  <c r="C204" i="1"/>
  <c r="M203" i="1"/>
  <c r="L203" i="1"/>
  <c r="K203" i="1"/>
  <c r="J203" i="1"/>
  <c r="I203" i="1"/>
  <c r="H203" i="1"/>
  <c r="G203" i="1"/>
  <c r="D203" i="1"/>
  <c r="C203" i="1"/>
  <c r="M202" i="1"/>
  <c r="L202" i="1"/>
  <c r="K202" i="1"/>
  <c r="J202" i="1"/>
  <c r="I202" i="1"/>
  <c r="H202" i="1"/>
  <c r="G202" i="1"/>
  <c r="D202" i="1"/>
  <c r="C202" i="1"/>
  <c r="M201" i="1"/>
  <c r="L201" i="1"/>
  <c r="K201" i="1"/>
  <c r="J201" i="1"/>
  <c r="I201" i="1"/>
  <c r="H201" i="1"/>
  <c r="G201" i="1"/>
  <c r="D201" i="1"/>
  <c r="C201" i="1"/>
  <c r="M200" i="1"/>
  <c r="L200" i="1"/>
  <c r="K200" i="1"/>
  <c r="J200" i="1"/>
  <c r="I200" i="1"/>
  <c r="H200" i="1"/>
  <c r="G200" i="1"/>
  <c r="D200" i="1"/>
  <c r="C200" i="1"/>
  <c r="M199" i="1"/>
  <c r="L199" i="1"/>
  <c r="K199" i="1"/>
  <c r="J199" i="1"/>
  <c r="I199" i="1"/>
  <c r="H199" i="1"/>
  <c r="G199" i="1"/>
  <c r="D199" i="1"/>
  <c r="C199" i="1"/>
  <c r="M198" i="1"/>
  <c r="L198" i="1"/>
  <c r="K198" i="1"/>
  <c r="J198" i="1"/>
  <c r="I198" i="1"/>
  <c r="H198" i="1"/>
  <c r="G198" i="1"/>
  <c r="D198" i="1"/>
  <c r="C198" i="1"/>
  <c r="M197" i="1"/>
  <c r="L197" i="1"/>
  <c r="K197" i="1"/>
  <c r="J197" i="1"/>
  <c r="I197" i="1"/>
  <c r="H197" i="1"/>
  <c r="G197" i="1"/>
  <c r="D197" i="1"/>
  <c r="C197" i="1"/>
  <c r="M196" i="1"/>
  <c r="L196" i="1"/>
  <c r="K196" i="1"/>
  <c r="J196" i="1"/>
  <c r="I196" i="1"/>
  <c r="H196" i="1"/>
  <c r="G196" i="1"/>
  <c r="D196" i="1"/>
  <c r="C196" i="1"/>
  <c r="M195" i="1"/>
  <c r="L195" i="1"/>
  <c r="K195" i="1"/>
  <c r="J195" i="1"/>
  <c r="I195" i="1"/>
  <c r="H195" i="1"/>
  <c r="G195" i="1"/>
  <c r="D195" i="1"/>
  <c r="C195" i="1"/>
  <c r="M194" i="1"/>
  <c r="L194" i="1"/>
  <c r="K194" i="1"/>
  <c r="J194" i="1"/>
  <c r="I194" i="1"/>
  <c r="H194" i="1"/>
  <c r="G194" i="1"/>
  <c r="D194" i="1"/>
  <c r="C194" i="1"/>
  <c r="M193" i="1"/>
  <c r="L193" i="1"/>
  <c r="K193" i="1"/>
  <c r="J193" i="1"/>
  <c r="I193" i="1"/>
  <c r="H193" i="1"/>
  <c r="G193" i="1"/>
  <c r="D193" i="1"/>
  <c r="C193" i="1"/>
  <c r="M192" i="1"/>
  <c r="L192" i="1"/>
  <c r="K192" i="1"/>
  <c r="J192" i="1"/>
  <c r="I192" i="1"/>
  <c r="H192" i="1"/>
  <c r="G192" i="1"/>
  <c r="D192" i="1"/>
  <c r="C192" i="1"/>
  <c r="M191" i="1"/>
  <c r="L191" i="1"/>
  <c r="K191" i="1"/>
  <c r="J191" i="1"/>
  <c r="I191" i="1"/>
  <c r="H191" i="1"/>
  <c r="G191" i="1"/>
  <c r="D191" i="1"/>
  <c r="C191" i="1"/>
  <c r="M190" i="1"/>
  <c r="L190" i="1"/>
  <c r="K190" i="1"/>
  <c r="J190" i="1"/>
  <c r="I190" i="1"/>
  <c r="H190" i="1"/>
  <c r="G190" i="1"/>
  <c r="D190" i="1"/>
  <c r="C190" i="1"/>
  <c r="M189" i="1"/>
  <c r="L189" i="1"/>
  <c r="K189" i="1"/>
  <c r="J189" i="1"/>
  <c r="I189" i="1"/>
  <c r="H189" i="1"/>
  <c r="G189" i="1"/>
  <c r="D189" i="1"/>
  <c r="C189" i="1"/>
  <c r="M188" i="1"/>
  <c r="L188" i="1"/>
  <c r="K188" i="1"/>
  <c r="J188" i="1"/>
  <c r="I188" i="1"/>
  <c r="H188" i="1"/>
  <c r="G188" i="1"/>
  <c r="D188" i="1"/>
  <c r="C188" i="1"/>
  <c r="M187" i="1"/>
  <c r="L187" i="1"/>
  <c r="K187" i="1"/>
  <c r="J187" i="1"/>
  <c r="I187" i="1"/>
  <c r="H187" i="1"/>
  <c r="G187" i="1"/>
  <c r="D187" i="1"/>
  <c r="C187" i="1"/>
  <c r="M186" i="1"/>
  <c r="L186" i="1"/>
  <c r="K186" i="1"/>
  <c r="J186" i="1"/>
  <c r="I186" i="1"/>
  <c r="H186" i="1"/>
  <c r="G186" i="1"/>
  <c r="D186" i="1"/>
  <c r="C186" i="1"/>
  <c r="M185" i="1"/>
  <c r="L185" i="1"/>
  <c r="K185" i="1"/>
  <c r="J185" i="1"/>
  <c r="I185" i="1"/>
  <c r="H185" i="1"/>
  <c r="G185" i="1"/>
  <c r="D185" i="1"/>
  <c r="C185" i="1"/>
  <c r="M184" i="1"/>
  <c r="L184" i="1"/>
  <c r="K184" i="1"/>
  <c r="J184" i="1"/>
  <c r="I184" i="1"/>
  <c r="H184" i="1"/>
  <c r="G184" i="1"/>
  <c r="D184" i="1"/>
  <c r="C184" i="1"/>
  <c r="M183" i="1"/>
  <c r="L183" i="1"/>
  <c r="K183" i="1"/>
  <c r="J183" i="1"/>
  <c r="I183" i="1"/>
  <c r="H183" i="1"/>
  <c r="G183" i="1"/>
  <c r="D183" i="1"/>
  <c r="C183" i="1"/>
  <c r="M182" i="1"/>
  <c r="L182" i="1"/>
  <c r="K182" i="1"/>
  <c r="J182" i="1"/>
  <c r="I182" i="1"/>
  <c r="H182" i="1"/>
  <c r="G182" i="1"/>
  <c r="D182" i="1"/>
  <c r="C182" i="1"/>
  <c r="M181" i="1"/>
  <c r="L181" i="1"/>
  <c r="K181" i="1"/>
  <c r="J181" i="1"/>
  <c r="I181" i="1"/>
  <c r="H181" i="1"/>
  <c r="G181" i="1"/>
  <c r="D181" i="1"/>
  <c r="C181" i="1"/>
  <c r="M180" i="1"/>
  <c r="L180" i="1"/>
  <c r="K180" i="1"/>
  <c r="J180" i="1"/>
  <c r="I180" i="1"/>
  <c r="H180" i="1"/>
  <c r="G180" i="1"/>
  <c r="D180" i="1"/>
  <c r="C180" i="1"/>
  <c r="M179" i="1"/>
  <c r="L179" i="1"/>
  <c r="K179" i="1"/>
  <c r="J179" i="1"/>
  <c r="I179" i="1"/>
  <c r="H179" i="1"/>
  <c r="G179" i="1"/>
  <c r="D179" i="1"/>
  <c r="C179" i="1"/>
  <c r="M178" i="1"/>
  <c r="L178" i="1"/>
  <c r="K178" i="1"/>
  <c r="J178" i="1"/>
  <c r="I178" i="1"/>
  <c r="H178" i="1"/>
  <c r="G178" i="1"/>
  <c r="D178" i="1"/>
  <c r="C178" i="1"/>
  <c r="M177" i="1"/>
  <c r="L177" i="1"/>
  <c r="K177" i="1"/>
  <c r="J177" i="1"/>
  <c r="I177" i="1"/>
  <c r="H177" i="1"/>
  <c r="G177" i="1"/>
  <c r="D177" i="1"/>
  <c r="C177" i="1"/>
  <c r="M176" i="1"/>
  <c r="L176" i="1"/>
  <c r="K176" i="1"/>
  <c r="J176" i="1"/>
  <c r="I176" i="1"/>
  <c r="H176" i="1"/>
  <c r="G176" i="1"/>
  <c r="D176" i="1"/>
  <c r="C176" i="1"/>
  <c r="M175" i="1"/>
  <c r="L175" i="1"/>
  <c r="K175" i="1"/>
  <c r="J175" i="1"/>
  <c r="I175" i="1"/>
  <c r="H175" i="1"/>
  <c r="G175" i="1"/>
  <c r="D175" i="1"/>
  <c r="C175" i="1"/>
  <c r="M174" i="1"/>
  <c r="L174" i="1"/>
  <c r="K174" i="1"/>
  <c r="J174" i="1"/>
  <c r="I174" i="1"/>
  <c r="H174" i="1"/>
  <c r="G174" i="1"/>
  <c r="D174" i="1"/>
  <c r="C174" i="1"/>
  <c r="M173" i="1"/>
  <c r="L173" i="1"/>
  <c r="K173" i="1"/>
  <c r="J173" i="1"/>
  <c r="I173" i="1"/>
  <c r="H173" i="1"/>
  <c r="G173" i="1"/>
  <c r="D173" i="1"/>
  <c r="C173" i="1"/>
  <c r="M172" i="1"/>
  <c r="L172" i="1"/>
  <c r="K172" i="1"/>
  <c r="J172" i="1"/>
  <c r="I172" i="1"/>
  <c r="H172" i="1"/>
  <c r="G172" i="1"/>
  <c r="D172" i="1"/>
  <c r="C172" i="1"/>
  <c r="M171" i="1"/>
  <c r="L171" i="1"/>
  <c r="K171" i="1"/>
  <c r="J171" i="1"/>
  <c r="I171" i="1"/>
  <c r="H171" i="1"/>
  <c r="G171" i="1"/>
  <c r="D171" i="1"/>
  <c r="C171" i="1"/>
  <c r="M170" i="1"/>
  <c r="L170" i="1"/>
  <c r="K170" i="1"/>
  <c r="J170" i="1"/>
  <c r="I170" i="1"/>
  <c r="H170" i="1"/>
  <c r="G170" i="1"/>
  <c r="D170" i="1"/>
  <c r="C170" i="1"/>
  <c r="M169" i="1"/>
  <c r="L169" i="1"/>
  <c r="K169" i="1"/>
  <c r="J169" i="1"/>
  <c r="I169" i="1"/>
  <c r="H169" i="1"/>
  <c r="G169" i="1"/>
  <c r="D169" i="1"/>
  <c r="C169" i="1"/>
  <c r="M168" i="1"/>
  <c r="L168" i="1"/>
  <c r="K168" i="1"/>
  <c r="J168" i="1"/>
  <c r="I168" i="1"/>
  <c r="H168" i="1"/>
  <c r="G168" i="1"/>
  <c r="D168" i="1"/>
  <c r="C168" i="1"/>
  <c r="M167" i="1"/>
  <c r="L167" i="1"/>
  <c r="K167" i="1"/>
  <c r="J167" i="1"/>
  <c r="I167" i="1"/>
  <c r="H167" i="1"/>
  <c r="G167" i="1"/>
  <c r="D167" i="1"/>
  <c r="C167" i="1"/>
  <c r="M166" i="1"/>
  <c r="L166" i="1"/>
  <c r="K166" i="1"/>
  <c r="J166" i="1"/>
  <c r="I166" i="1"/>
  <c r="H166" i="1"/>
  <c r="G166" i="1"/>
  <c r="D166" i="1"/>
  <c r="C166" i="1"/>
  <c r="M165" i="1"/>
  <c r="L165" i="1"/>
  <c r="K165" i="1"/>
  <c r="J165" i="1"/>
  <c r="I165" i="1"/>
  <c r="H165" i="1"/>
  <c r="G165" i="1"/>
  <c r="D165" i="1"/>
  <c r="C165" i="1"/>
  <c r="M164" i="1"/>
  <c r="L164" i="1"/>
  <c r="K164" i="1"/>
  <c r="J164" i="1"/>
  <c r="I164" i="1"/>
  <c r="H164" i="1"/>
  <c r="G164" i="1"/>
  <c r="D164" i="1"/>
  <c r="C164" i="1"/>
  <c r="M163" i="1"/>
  <c r="L163" i="1"/>
  <c r="K163" i="1"/>
  <c r="J163" i="1"/>
  <c r="I163" i="1"/>
  <c r="H163" i="1"/>
  <c r="G163" i="1"/>
  <c r="D163" i="1"/>
  <c r="C163" i="1"/>
  <c r="M162" i="1"/>
  <c r="L162" i="1"/>
  <c r="K162" i="1"/>
  <c r="J162" i="1"/>
  <c r="I162" i="1"/>
  <c r="H162" i="1"/>
  <c r="G162" i="1"/>
  <c r="D162" i="1"/>
  <c r="C162" i="1"/>
  <c r="M161" i="1"/>
  <c r="L161" i="1"/>
  <c r="K161" i="1"/>
  <c r="J161" i="1"/>
  <c r="I161" i="1"/>
  <c r="H161" i="1"/>
  <c r="G161" i="1"/>
  <c r="D161" i="1"/>
  <c r="C161" i="1"/>
  <c r="M160" i="1"/>
  <c r="L160" i="1"/>
  <c r="K160" i="1"/>
  <c r="J160" i="1"/>
  <c r="I160" i="1"/>
  <c r="H160" i="1"/>
  <c r="G160" i="1"/>
  <c r="D160" i="1"/>
  <c r="C160" i="1"/>
  <c r="M159" i="1"/>
  <c r="L159" i="1"/>
  <c r="K159" i="1"/>
  <c r="J159" i="1"/>
  <c r="I159" i="1"/>
  <c r="H159" i="1"/>
  <c r="G159" i="1"/>
  <c r="D159" i="1"/>
  <c r="C159" i="1"/>
  <c r="M158" i="1"/>
  <c r="L158" i="1"/>
  <c r="K158" i="1"/>
  <c r="J158" i="1"/>
  <c r="I158" i="1"/>
  <c r="H158" i="1"/>
  <c r="G158" i="1"/>
  <c r="D158" i="1"/>
  <c r="C158" i="1"/>
  <c r="M157" i="1"/>
  <c r="L157" i="1"/>
  <c r="K157" i="1"/>
  <c r="J157" i="1"/>
  <c r="I157" i="1"/>
  <c r="H157" i="1"/>
  <c r="G157" i="1"/>
  <c r="D157" i="1"/>
  <c r="C157" i="1"/>
  <c r="M156" i="1"/>
  <c r="L156" i="1"/>
  <c r="K156" i="1"/>
  <c r="J156" i="1"/>
  <c r="I156" i="1"/>
  <c r="H156" i="1"/>
  <c r="G156" i="1"/>
  <c r="D156" i="1"/>
  <c r="C156" i="1"/>
  <c r="M155" i="1"/>
  <c r="L155" i="1"/>
  <c r="K155" i="1"/>
  <c r="J155" i="1"/>
  <c r="I155" i="1"/>
  <c r="H155" i="1"/>
  <c r="G155" i="1"/>
  <c r="D155" i="1"/>
  <c r="C155" i="1"/>
  <c r="M154" i="1"/>
  <c r="L154" i="1"/>
  <c r="K154" i="1"/>
  <c r="J154" i="1"/>
  <c r="I154" i="1"/>
  <c r="H154" i="1"/>
  <c r="G154" i="1"/>
  <c r="D154" i="1"/>
  <c r="C154" i="1"/>
  <c r="M153" i="1"/>
  <c r="L153" i="1"/>
  <c r="K153" i="1"/>
  <c r="J153" i="1"/>
  <c r="I153" i="1"/>
  <c r="H153" i="1"/>
  <c r="G153" i="1"/>
  <c r="D153" i="1"/>
  <c r="C153" i="1"/>
  <c r="M152" i="1"/>
  <c r="L152" i="1"/>
  <c r="K152" i="1"/>
  <c r="J152" i="1"/>
  <c r="I152" i="1"/>
  <c r="H152" i="1"/>
  <c r="G152" i="1"/>
  <c r="D152" i="1"/>
  <c r="C152" i="1"/>
  <c r="M151" i="1"/>
  <c r="L151" i="1"/>
  <c r="K151" i="1"/>
  <c r="J151" i="1"/>
  <c r="I151" i="1"/>
  <c r="H151" i="1"/>
  <c r="G151" i="1"/>
  <c r="D151" i="1"/>
  <c r="C151" i="1"/>
  <c r="M150" i="1"/>
  <c r="L150" i="1"/>
  <c r="K150" i="1"/>
  <c r="J150" i="1"/>
  <c r="I150" i="1"/>
  <c r="H150" i="1"/>
  <c r="G150" i="1"/>
  <c r="D150" i="1"/>
  <c r="C150" i="1"/>
  <c r="M149" i="1"/>
  <c r="L149" i="1"/>
  <c r="K149" i="1"/>
  <c r="J149" i="1"/>
  <c r="I149" i="1"/>
  <c r="H149" i="1"/>
  <c r="G149" i="1"/>
  <c r="D149" i="1"/>
  <c r="C149" i="1"/>
  <c r="M148" i="1"/>
  <c r="L148" i="1"/>
  <c r="K148" i="1"/>
  <c r="J148" i="1"/>
  <c r="I148" i="1"/>
  <c r="H148" i="1"/>
  <c r="G148" i="1"/>
  <c r="D148" i="1"/>
  <c r="C148" i="1"/>
  <c r="M147" i="1"/>
  <c r="L147" i="1"/>
  <c r="K147" i="1"/>
  <c r="J147" i="1"/>
  <c r="I147" i="1"/>
  <c r="H147" i="1"/>
  <c r="G147" i="1"/>
  <c r="D147" i="1"/>
  <c r="C147" i="1"/>
  <c r="M146" i="1"/>
  <c r="L146" i="1"/>
  <c r="K146" i="1"/>
  <c r="J146" i="1"/>
  <c r="I146" i="1"/>
  <c r="H146" i="1"/>
  <c r="G146" i="1"/>
  <c r="D146" i="1"/>
  <c r="C146" i="1"/>
  <c r="M145" i="1"/>
  <c r="L145" i="1"/>
  <c r="K145" i="1"/>
  <c r="J145" i="1"/>
  <c r="I145" i="1"/>
  <c r="H145" i="1"/>
  <c r="G145" i="1"/>
  <c r="D145" i="1"/>
  <c r="C145" i="1"/>
  <c r="M144" i="1"/>
  <c r="L144" i="1"/>
  <c r="K144" i="1"/>
  <c r="J144" i="1"/>
  <c r="I144" i="1"/>
  <c r="H144" i="1"/>
  <c r="G144" i="1"/>
  <c r="D144" i="1"/>
  <c r="C144" i="1"/>
  <c r="M143" i="1"/>
  <c r="L143" i="1"/>
  <c r="K143" i="1"/>
  <c r="J143" i="1"/>
  <c r="I143" i="1"/>
  <c r="H143" i="1"/>
  <c r="G143" i="1"/>
  <c r="D143" i="1"/>
  <c r="C143" i="1"/>
  <c r="M142" i="1"/>
  <c r="L142" i="1"/>
  <c r="K142" i="1"/>
  <c r="J142" i="1"/>
  <c r="I142" i="1"/>
  <c r="H142" i="1"/>
  <c r="G142" i="1"/>
  <c r="D142" i="1"/>
  <c r="C142" i="1"/>
  <c r="M141" i="1"/>
  <c r="L141" i="1"/>
  <c r="K141" i="1"/>
  <c r="J141" i="1"/>
  <c r="I141" i="1"/>
  <c r="H141" i="1"/>
  <c r="G141" i="1"/>
  <c r="D141" i="1"/>
  <c r="C141" i="1"/>
  <c r="M140" i="1"/>
  <c r="L140" i="1"/>
  <c r="K140" i="1"/>
  <c r="J140" i="1"/>
  <c r="I140" i="1"/>
  <c r="H140" i="1"/>
  <c r="G140" i="1"/>
  <c r="D140" i="1"/>
  <c r="C140" i="1"/>
  <c r="M139" i="1"/>
  <c r="L139" i="1"/>
  <c r="K139" i="1"/>
  <c r="J139" i="1"/>
  <c r="I139" i="1"/>
  <c r="H139" i="1"/>
  <c r="G139" i="1"/>
  <c r="D139" i="1"/>
  <c r="C139" i="1"/>
  <c r="M138" i="1"/>
  <c r="L138" i="1"/>
  <c r="K138" i="1"/>
  <c r="J138" i="1"/>
  <c r="I138" i="1"/>
  <c r="H138" i="1"/>
  <c r="G138" i="1"/>
  <c r="D138" i="1"/>
  <c r="C138" i="1"/>
  <c r="M137" i="1"/>
  <c r="L137" i="1"/>
  <c r="K137" i="1"/>
  <c r="J137" i="1"/>
  <c r="I137" i="1"/>
  <c r="H137" i="1"/>
  <c r="G137" i="1"/>
  <c r="D137" i="1"/>
  <c r="C137" i="1"/>
  <c r="M136" i="1"/>
  <c r="L136" i="1"/>
  <c r="K136" i="1"/>
  <c r="J136" i="1"/>
  <c r="I136" i="1"/>
  <c r="H136" i="1"/>
  <c r="G136" i="1"/>
  <c r="D136" i="1"/>
  <c r="C136" i="1"/>
  <c r="M135" i="1"/>
  <c r="L135" i="1"/>
  <c r="K135" i="1"/>
  <c r="J135" i="1"/>
  <c r="I135" i="1"/>
  <c r="H135" i="1"/>
  <c r="G135" i="1"/>
  <c r="D135" i="1"/>
  <c r="C135" i="1"/>
  <c r="M134" i="1"/>
  <c r="L134" i="1"/>
  <c r="K134" i="1"/>
  <c r="J134" i="1"/>
  <c r="I134" i="1"/>
  <c r="H134" i="1"/>
  <c r="G134" i="1"/>
  <c r="D134" i="1"/>
  <c r="C134" i="1"/>
  <c r="M133" i="1"/>
  <c r="L133" i="1"/>
  <c r="K133" i="1"/>
  <c r="J133" i="1"/>
  <c r="I133" i="1"/>
  <c r="H133" i="1"/>
  <c r="G133" i="1"/>
  <c r="D133" i="1"/>
  <c r="C133" i="1"/>
  <c r="M132" i="1"/>
  <c r="L132" i="1"/>
  <c r="K132" i="1"/>
  <c r="J132" i="1"/>
  <c r="I132" i="1"/>
  <c r="H132" i="1"/>
  <c r="G132" i="1"/>
  <c r="D132" i="1"/>
  <c r="C132" i="1"/>
  <c r="M131" i="1"/>
  <c r="L131" i="1"/>
  <c r="K131" i="1"/>
  <c r="J131" i="1"/>
  <c r="I131" i="1"/>
  <c r="H131" i="1"/>
  <c r="G131" i="1"/>
  <c r="D131" i="1"/>
  <c r="C131" i="1"/>
  <c r="M130" i="1"/>
  <c r="L130" i="1"/>
  <c r="K130" i="1"/>
  <c r="J130" i="1"/>
  <c r="I130" i="1"/>
  <c r="H130" i="1"/>
  <c r="G130" i="1"/>
  <c r="D130" i="1"/>
  <c r="C130" i="1"/>
  <c r="M129" i="1"/>
  <c r="L129" i="1"/>
  <c r="K129" i="1"/>
  <c r="J129" i="1"/>
  <c r="I129" i="1"/>
  <c r="H129" i="1"/>
  <c r="G129" i="1"/>
  <c r="D129" i="1"/>
  <c r="C129" i="1"/>
  <c r="M128" i="1"/>
  <c r="L128" i="1"/>
  <c r="K128" i="1"/>
  <c r="J128" i="1"/>
  <c r="I128" i="1"/>
  <c r="H128" i="1"/>
  <c r="G128" i="1"/>
  <c r="D128" i="1"/>
  <c r="C128" i="1"/>
  <c r="M127" i="1"/>
  <c r="L127" i="1"/>
  <c r="K127" i="1"/>
  <c r="J127" i="1"/>
  <c r="I127" i="1"/>
  <c r="H127" i="1"/>
  <c r="G127" i="1"/>
  <c r="D127" i="1"/>
  <c r="C127" i="1"/>
  <c r="M126" i="1"/>
  <c r="L126" i="1"/>
  <c r="K126" i="1"/>
  <c r="J126" i="1"/>
  <c r="I126" i="1"/>
  <c r="H126" i="1"/>
  <c r="G126" i="1"/>
  <c r="D126" i="1"/>
  <c r="C126" i="1"/>
  <c r="M125" i="1"/>
  <c r="L125" i="1"/>
  <c r="K125" i="1"/>
  <c r="J125" i="1"/>
  <c r="I125" i="1"/>
  <c r="H125" i="1"/>
  <c r="G125" i="1"/>
  <c r="D125" i="1"/>
  <c r="C125" i="1"/>
  <c r="M124" i="1"/>
  <c r="L124" i="1"/>
  <c r="K124" i="1"/>
  <c r="J124" i="1"/>
  <c r="I124" i="1"/>
  <c r="H124" i="1"/>
  <c r="G124" i="1"/>
  <c r="D124" i="1"/>
  <c r="C124" i="1"/>
  <c r="M123" i="1"/>
  <c r="L123" i="1"/>
  <c r="K123" i="1"/>
  <c r="J123" i="1"/>
  <c r="I123" i="1"/>
  <c r="H123" i="1"/>
  <c r="G123" i="1"/>
  <c r="D123" i="1"/>
  <c r="C123" i="1"/>
  <c r="M122" i="1"/>
  <c r="L122" i="1"/>
  <c r="K122" i="1"/>
  <c r="J122" i="1"/>
  <c r="I122" i="1"/>
  <c r="H122" i="1"/>
  <c r="G122" i="1"/>
  <c r="D122" i="1"/>
  <c r="C122" i="1"/>
  <c r="M121" i="1"/>
  <c r="L121" i="1"/>
  <c r="K121" i="1"/>
  <c r="J121" i="1"/>
  <c r="I121" i="1"/>
  <c r="H121" i="1"/>
  <c r="G121" i="1"/>
  <c r="D121" i="1"/>
  <c r="C121" i="1"/>
  <c r="M120" i="1"/>
  <c r="L120" i="1"/>
  <c r="K120" i="1"/>
  <c r="J120" i="1"/>
  <c r="I120" i="1"/>
  <c r="H120" i="1"/>
  <c r="G120" i="1"/>
  <c r="D120" i="1"/>
  <c r="C120" i="1"/>
  <c r="M119" i="1"/>
  <c r="L119" i="1"/>
  <c r="K119" i="1"/>
  <c r="J119" i="1"/>
  <c r="I119" i="1"/>
  <c r="H119" i="1"/>
  <c r="G119" i="1"/>
  <c r="D119" i="1"/>
  <c r="C119" i="1"/>
  <c r="M118" i="1"/>
  <c r="L118" i="1"/>
  <c r="K118" i="1"/>
  <c r="J118" i="1"/>
  <c r="I118" i="1"/>
  <c r="H118" i="1"/>
  <c r="G118" i="1"/>
  <c r="D118" i="1"/>
  <c r="C118" i="1"/>
  <c r="M117" i="1"/>
  <c r="L117" i="1"/>
  <c r="K117" i="1"/>
  <c r="J117" i="1"/>
  <c r="I117" i="1"/>
  <c r="H117" i="1"/>
  <c r="G117" i="1"/>
  <c r="D117" i="1"/>
  <c r="C117" i="1"/>
  <c r="M116" i="1"/>
  <c r="L116" i="1"/>
  <c r="K116" i="1"/>
  <c r="J116" i="1"/>
  <c r="I116" i="1"/>
  <c r="H116" i="1"/>
  <c r="G116" i="1"/>
  <c r="D116" i="1"/>
  <c r="C116" i="1"/>
  <c r="M115" i="1"/>
  <c r="L115" i="1"/>
  <c r="K115" i="1"/>
  <c r="J115" i="1"/>
  <c r="I115" i="1"/>
  <c r="H115" i="1"/>
  <c r="G115" i="1"/>
  <c r="D115" i="1"/>
  <c r="C115" i="1"/>
  <c r="M114" i="1"/>
  <c r="L114" i="1"/>
  <c r="K114" i="1"/>
  <c r="J114" i="1"/>
  <c r="I114" i="1"/>
  <c r="H114" i="1"/>
  <c r="G114" i="1"/>
  <c r="D114" i="1"/>
  <c r="C114" i="1"/>
  <c r="M113" i="1"/>
  <c r="L113" i="1"/>
  <c r="K113" i="1"/>
  <c r="J113" i="1"/>
  <c r="I113" i="1"/>
  <c r="H113" i="1"/>
  <c r="G113" i="1"/>
  <c r="D113" i="1"/>
  <c r="C113" i="1"/>
  <c r="M112" i="1"/>
  <c r="L112" i="1"/>
  <c r="K112" i="1"/>
  <c r="J112" i="1"/>
  <c r="I112" i="1"/>
  <c r="H112" i="1"/>
  <c r="G112" i="1"/>
  <c r="D112" i="1"/>
  <c r="C112" i="1"/>
  <c r="M111" i="1"/>
  <c r="L111" i="1"/>
  <c r="K111" i="1"/>
  <c r="J111" i="1"/>
  <c r="I111" i="1"/>
  <c r="H111" i="1"/>
  <c r="G111" i="1"/>
  <c r="D111" i="1"/>
  <c r="C111" i="1"/>
  <c r="M110" i="1"/>
  <c r="L110" i="1"/>
  <c r="K110" i="1"/>
  <c r="J110" i="1"/>
  <c r="I110" i="1"/>
  <c r="H110" i="1"/>
  <c r="G110" i="1"/>
  <c r="D110" i="1"/>
  <c r="C110" i="1"/>
  <c r="M109" i="1"/>
  <c r="L109" i="1"/>
  <c r="K109" i="1"/>
  <c r="J109" i="1"/>
  <c r="I109" i="1"/>
  <c r="H109" i="1"/>
  <c r="G109" i="1"/>
  <c r="D109" i="1"/>
  <c r="C109" i="1"/>
  <c r="M108" i="1"/>
  <c r="L108" i="1"/>
  <c r="K108" i="1"/>
  <c r="J108" i="1"/>
  <c r="I108" i="1"/>
  <c r="H108" i="1"/>
  <c r="G108" i="1"/>
  <c r="D108" i="1"/>
  <c r="C108" i="1"/>
  <c r="M107" i="1"/>
  <c r="L107" i="1"/>
  <c r="K107" i="1"/>
  <c r="J107" i="1"/>
  <c r="I107" i="1"/>
  <c r="H107" i="1"/>
  <c r="G107" i="1"/>
  <c r="D107" i="1"/>
  <c r="C107" i="1"/>
  <c r="M106" i="1"/>
  <c r="L106" i="1"/>
  <c r="K106" i="1"/>
  <c r="J106" i="1"/>
  <c r="I106" i="1"/>
  <c r="H106" i="1"/>
  <c r="G106" i="1"/>
  <c r="D106" i="1"/>
  <c r="C106" i="1"/>
  <c r="M105" i="1"/>
  <c r="L105" i="1"/>
  <c r="K105" i="1"/>
  <c r="J105" i="1"/>
  <c r="I105" i="1"/>
  <c r="H105" i="1"/>
  <c r="G105" i="1"/>
  <c r="D105" i="1"/>
  <c r="C105" i="1"/>
  <c r="M104" i="1"/>
  <c r="L104" i="1"/>
  <c r="K104" i="1"/>
  <c r="J104" i="1"/>
  <c r="I104" i="1"/>
  <c r="H104" i="1"/>
  <c r="G104" i="1"/>
  <c r="D104" i="1"/>
  <c r="C104" i="1"/>
  <c r="M103" i="1"/>
  <c r="L103" i="1"/>
  <c r="K103" i="1"/>
  <c r="J103" i="1"/>
  <c r="I103" i="1"/>
  <c r="H103" i="1"/>
  <c r="G103" i="1"/>
  <c r="D103" i="1"/>
  <c r="C103" i="1"/>
  <c r="M102" i="1"/>
  <c r="L102" i="1"/>
  <c r="K102" i="1"/>
  <c r="J102" i="1"/>
  <c r="I102" i="1"/>
  <c r="H102" i="1"/>
  <c r="G102" i="1"/>
  <c r="D102" i="1"/>
  <c r="C102" i="1"/>
  <c r="M101" i="1"/>
  <c r="L101" i="1"/>
  <c r="K101" i="1"/>
  <c r="J101" i="1"/>
  <c r="I101" i="1"/>
  <c r="H101" i="1"/>
  <c r="G101" i="1"/>
  <c r="D101" i="1"/>
  <c r="C101" i="1"/>
  <c r="M100" i="1"/>
  <c r="L100" i="1"/>
  <c r="K100" i="1"/>
  <c r="J100" i="1"/>
  <c r="I100" i="1"/>
  <c r="H100" i="1"/>
  <c r="G100" i="1"/>
  <c r="D100" i="1"/>
  <c r="C100" i="1"/>
  <c r="M99" i="1"/>
  <c r="L99" i="1"/>
  <c r="K99" i="1"/>
  <c r="J99" i="1"/>
  <c r="I99" i="1"/>
  <c r="H99" i="1"/>
  <c r="G99" i="1"/>
  <c r="D99" i="1"/>
  <c r="C99" i="1"/>
  <c r="M98" i="1"/>
  <c r="L98" i="1"/>
  <c r="K98" i="1"/>
  <c r="J98" i="1"/>
  <c r="I98" i="1"/>
  <c r="H98" i="1"/>
  <c r="G98" i="1"/>
  <c r="D98" i="1"/>
  <c r="C98" i="1"/>
  <c r="M97" i="1"/>
  <c r="L97" i="1"/>
  <c r="K97" i="1"/>
  <c r="J97" i="1"/>
  <c r="I97" i="1"/>
  <c r="H97" i="1"/>
  <c r="G97" i="1"/>
  <c r="D97" i="1"/>
  <c r="C97" i="1"/>
  <c r="M96" i="1"/>
  <c r="L96" i="1"/>
  <c r="K96" i="1"/>
  <c r="J96" i="1"/>
  <c r="I96" i="1"/>
  <c r="H96" i="1"/>
  <c r="G96" i="1"/>
  <c r="D96" i="1"/>
  <c r="C96" i="1"/>
  <c r="M95" i="1"/>
  <c r="L95" i="1"/>
  <c r="K95" i="1"/>
  <c r="J95" i="1"/>
  <c r="I95" i="1"/>
  <c r="H95" i="1"/>
  <c r="G95" i="1"/>
  <c r="D95" i="1"/>
  <c r="C95" i="1"/>
  <c r="M94" i="1"/>
  <c r="L94" i="1"/>
  <c r="K94" i="1"/>
  <c r="J94" i="1"/>
  <c r="I94" i="1"/>
  <c r="H94" i="1"/>
  <c r="G94" i="1"/>
  <c r="D94" i="1"/>
  <c r="C94" i="1"/>
  <c r="M93" i="1"/>
  <c r="L93" i="1"/>
  <c r="K93" i="1"/>
  <c r="J93" i="1"/>
  <c r="I93" i="1"/>
  <c r="H93" i="1"/>
  <c r="G93" i="1"/>
  <c r="D93" i="1"/>
  <c r="C93" i="1"/>
  <c r="M92" i="1"/>
  <c r="L92" i="1"/>
  <c r="K92" i="1"/>
  <c r="J92" i="1"/>
  <c r="I92" i="1"/>
  <c r="H92" i="1"/>
  <c r="G92" i="1"/>
  <c r="D92" i="1"/>
  <c r="C92" i="1"/>
  <c r="M91" i="1"/>
  <c r="L91" i="1"/>
  <c r="K91" i="1"/>
  <c r="J91" i="1"/>
  <c r="I91" i="1"/>
  <c r="H91" i="1"/>
  <c r="G91" i="1"/>
  <c r="D91" i="1"/>
  <c r="C91" i="1"/>
  <c r="M90" i="1"/>
  <c r="L90" i="1"/>
  <c r="K90" i="1"/>
  <c r="J90" i="1"/>
  <c r="I90" i="1"/>
  <c r="H90" i="1"/>
  <c r="G90" i="1"/>
  <c r="D90" i="1"/>
  <c r="C90" i="1"/>
  <c r="M89" i="1"/>
  <c r="L89" i="1"/>
  <c r="K89" i="1"/>
  <c r="J89" i="1"/>
  <c r="I89" i="1"/>
  <c r="H89" i="1"/>
  <c r="G89" i="1"/>
  <c r="D89" i="1"/>
  <c r="C89" i="1"/>
  <c r="M88" i="1"/>
  <c r="L88" i="1"/>
  <c r="K88" i="1"/>
  <c r="J88" i="1"/>
  <c r="I88" i="1"/>
  <c r="H88" i="1"/>
  <c r="G88" i="1"/>
  <c r="D88" i="1"/>
  <c r="C88" i="1"/>
  <c r="M87" i="1"/>
  <c r="L87" i="1"/>
  <c r="K87" i="1"/>
  <c r="J87" i="1"/>
  <c r="I87" i="1"/>
  <c r="H87" i="1"/>
  <c r="G87" i="1"/>
  <c r="D87" i="1"/>
  <c r="C87" i="1"/>
  <c r="M86" i="1"/>
  <c r="L86" i="1"/>
  <c r="K86" i="1"/>
  <c r="J86" i="1"/>
  <c r="I86" i="1"/>
  <c r="H86" i="1"/>
  <c r="G86" i="1"/>
  <c r="D86" i="1"/>
  <c r="C86" i="1"/>
  <c r="M85" i="1"/>
  <c r="L85" i="1"/>
  <c r="K85" i="1"/>
  <c r="J85" i="1"/>
  <c r="I85" i="1"/>
  <c r="H85" i="1"/>
  <c r="G85" i="1"/>
  <c r="D85" i="1"/>
  <c r="C85" i="1"/>
  <c r="M84" i="1"/>
  <c r="L84" i="1"/>
  <c r="K84" i="1"/>
  <c r="J84" i="1"/>
  <c r="I84" i="1"/>
  <c r="H84" i="1"/>
  <c r="G84" i="1"/>
  <c r="D84" i="1"/>
  <c r="C84" i="1"/>
  <c r="M83" i="1"/>
  <c r="L83" i="1"/>
  <c r="K83" i="1"/>
  <c r="J83" i="1"/>
  <c r="I83" i="1"/>
  <c r="H83" i="1"/>
  <c r="G83" i="1"/>
  <c r="D83" i="1"/>
  <c r="C83" i="1"/>
  <c r="M82" i="1"/>
  <c r="L82" i="1"/>
  <c r="K82" i="1"/>
  <c r="J82" i="1"/>
  <c r="I82" i="1"/>
  <c r="H82" i="1"/>
  <c r="G82" i="1"/>
  <c r="D82" i="1"/>
  <c r="C82" i="1"/>
  <c r="M81" i="1"/>
  <c r="L81" i="1"/>
  <c r="K81" i="1"/>
  <c r="J81" i="1"/>
  <c r="I81" i="1"/>
  <c r="H81" i="1"/>
  <c r="G81" i="1"/>
  <c r="D81" i="1"/>
  <c r="C81" i="1"/>
  <c r="M80" i="1"/>
  <c r="L80" i="1"/>
  <c r="K80" i="1"/>
  <c r="J80" i="1"/>
  <c r="I80" i="1"/>
  <c r="H80" i="1"/>
  <c r="G80" i="1"/>
  <c r="D80" i="1"/>
  <c r="C80" i="1"/>
  <c r="M79" i="1"/>
  <c r="L79" i="1"/>
  <c r="K79" i="1"/>
  <c r="J79" i="1"/>
  <c r="I79" i="1"/>
  <c r="H79" i="1"/>
  <c r="G79" i="1"/>
  <c r="D79" i="1"/>
  <c r="C79" i="1"/>
  <c r="M78" i="1"/>
  <c r="L78" i="1"/>
  <c r="K78" i="1"/>
  <c r="J78" i="1"/>
  <c r="I78" i="1"/>
  <c r="H78" i="1"/>
  <c r="G78" i="1"/>
  <c r="D78" i="1"/>
  <c r="C78" i="1"/>
  <c r="M77" i="1"/>
  <c r="L77" i="1"/>
  <c r="K77" i="1"/>
  <c r="J77" i="1"/>
  <c r="I77" i="1"/>
  <c r="H77" i="1"/>
  <c r="G77" i="1"/>
  <c r="D77" i="1"/>
  <c r="C77" i="1"/>
  <c r="M76" i="1"/>
  <c r="L76" i="1"/>
  <c r="K76" i="1"/>
  <c r="J76" i="1"/>
  <c r="I76" i="1"/>
  <c r="H76" i="1"/>
  <c r="G76" i="1"/>
  <c r="D76" i="1"/>
  <c r="C76" i="1"/>
  <c r="M75" i="1"/>
  <c r="L75" i="1"/>
  <c r="K75" i="1"/>
  <c r="J75" i="1"/>
  <c r="I75" i="1"/>
  <c r="H75" i="1"/>
  <c r="G75" i="1"/>
  <c r="D75" i="1"/>
  <c r="C75" i="1"/>
  <c r="M74" i="1"/>
  <c r="L74" i="1"/>
  <c r="K74" i="1"/>
  <c r="J74" i="1"/>
  <c r="I74" i="1"/>
  <c r="H74" i="1"/>
  <c r="G74" i="1"/>
  <c r="D74" i="1"/>
  <c r="C74" i="1"/>
  <c r="M73" i="1"/>
  <c r="L73" i="1"/>
  <c r="K73" i="1"/>
  <c r="J73" i="1"/>
  <c r="I73" i="1"/>
  <c r="H73" i="1"/>
  <c r="G73" i="1"/>
  <c r="D73" i="1"/>
  <c r="C73" i="1"/>
  <c r="M72" i="1"/>
  <c r="L72" i="1"/>
  <c r="K72" i="1"/>
  <c r="J72" i="1"/>
  <c r="I72" i="1"/>
  <c r="H72" i="1"/>
  <c r="G72" i="1"/>
  <c r="D72" i="1"/>
  <c r="C72" i="1"/>
  <c r="M71" i="1"/>
  <c r="L71" i="1"/>
  <c r="K71" i="1"/>
  <c r="J71" i="1"/>
  <c r="I71" i="1"/>
  <c r="H71" i="1"/>
  <c r="G71" i="1"/>
  <c r="D71" i="1"/>
  <c r="C71" i="1"/>
  <c r="M70" i="1"/>
  <c r="L70" i="1"/>
  <c r="K70" i="1"/>
  <c r="J70" i="1"/>
  <c r="I70" i="1"/>
  <c r="H70" i="1"/>
  <c r="G70" i="1"/>
  <c r="D70" i="1"/>
  <c r="C70" i="1"/>
  <c r="M69" i="1"/>
  <c r="L69" i="1"/>
  <c r="K69" i="1"/>
  <c r="J69" i="1"/>
  <c r="I69" i="1"/>
  <c r="H69" i="1"/>
  <c r="G69" i="1"/>
  <c r="D69" i="1"/>
  <c r="C69" i="1"/>
  <c r="M68" i="1"/>
  <c r="L68" i="1"/>
  <c r="K68" i="1"/>
  <c r="J68" i="1"/>
  <c r="I68" i="1"/>
  <c r="H68" i="1"/>
  <c r="G68" i="1"/>
  <c r="D68" i="1"/>
  <c r="C68" i="1"/>
  <c r="M67" i="1"/>
  <c r="L67" i="1"/>
  <c r="K67" i="1"/>
  <c r="J67" i="1"/>
  <c r="I67" i="1"/>
  <c r="H67" i="1"/>
  <c r="G67" i="1"/>
  <c r="D67" i="1"/>
  <c r="C67" i="1"/>
  <c r="M66" i="1"/>
  <c r="L66" i="1"/>
  <c r="K66" i="1"/>
  <c r="J66" i="1"/>
  <c r="I66" i="1"/>
  <c r="H66" i="1"/>
  <c r="G66" i="1"/>
  <c r="D66" i="1"/>
  <c r="C66" i="1"/>
  <c r="M65" i="1"/>
  <c r="L65" i="1"/>
  <c r="K65" i="1"/>
  <c r="J65" i="1"/>
  <c r="I65" i="1"/>
  <c r="H65" i="1"/>
  <c r="G65" i="1"/>
  <c r="D65" i="1"/>
  <c r="C65" i="1"/>
  <c r="M64" i="1"/>
  <c r="L64" i="1"/>
  <c r="K64" i="1"/>
  <c r="J64" i="1"/>
  <c r="I64" i="1"/>
  <c r="H64" i="1"/>
  <c r="G64" i="1"/>
  <c r="D64" i="1"/>
  <c r="C64" i="1"/>
  <c r="M63" i="1"/>
  <c r="L63" i="1"/>
  <c r="K63" i="1"/>
  <c r="J63" i="1"/>
  <c r="I63" i="1"/>
  <c r="H63" i="1"/>
  <c r="G63" i="1"/>
  <c r="D63" i="1"/>
  <c r="C63" i="1"/>
  <c r="M62" i="1"/>
  <c r="L62" i="1"/>
  <c r="K62" i="1"/>
  <c r="J62" i="1"/>
  <c r="I62" i="1"/>
  <c r="H62" i="1"/>
  <c r="G62" i="1"/>
  <c r="D62" i="1"/>
  <c r="C62" i="1"/>
  <c r="M61" i="1"/>
  <c r="L61" i="1"/>
  <c r="K61" i="1"/>
  <c r="J61" i="1"/>
  <c r="I61" i="1"/>
  <c r="H61" i="1"/>
  <c r="G61" i="1"/>
  <c r="D61" i="1"/>
  <c r="C61" i="1"/>
  <c r="M60" i="1"/>
  <c r="L60" i="1"/>
  <c r="K60" i="1"/>
  <c r="J60" i="1"/>
  <c r="I60" i="1"/>
  <c r="H60" i="1"/>
  <c r="G60" i="1"/>
  <c r="D60" i="1"/>
  <c r="C60" i="1"/>
  <c r="M59" i="1"/>
  <c r="L59" i="1"/>
  <c r="K59" i="1"/>
  <c r="J59" i="1"/>
  <c r="I59" i="1"/>
  <c r="H59" i="1"/>
  <c r="G59" i="1"/>
  <c r="D59" i="1"/>
  <c r="C59" i="1"/>
  <c r="M58" i="1"/>
  <c r="L58" i="1"/>
  <c r="K58" i="1"/>
  <c r="J58" i="1"/>
  <c r="I58" i="1"/>
  <c r="H58" i="1"/>
  <c r="G58" i="1"/>
  <c r="D58" i="1"/>
  <c r="C58" i="1"/>
  <c r="M57" i="1"/>
  <c r="L57" i="1"/>
  <c r="K57" i="1"/>
  <c r="J57" i="1"/>
  <c r="I57" i="1"/>
  <c r="H57" i="1"/>
  <c r="G57" i="1"/>
  <c r="D57" i="1"/>
  <c r="C57" i="1"/>
  <c r="M56" i="1"/>
  <c r="L56" i="1"/>
  <c r="K56" i="1"/>
  <c r="J56" i="1"/>
  <c r="I56" i="1"/>
  <c r="H56" i="1"/>
  <c r="G56" i="1"/>
  <c r="D56" i="1"/>
  <c r="C56" i="1"/>
  <c r="M55" i="1"/>
  <c r="L55" i="1"/>
  <c r="K55" i="1"/>
  <c r="J55" i="1"/>
  <c r="I55" i="1"/>
  <c r="H55" i="1"/>
  <c r="G55" i="1"/>
  <c r="D55" i="1"/>
  <c r="C55" i="1"/>
  <c r="M54" i="1"/>
  <c r="L54" i="1"/>
  <c r="K54" i="1"/>
  <c r="J54" i="1"/>
  <c r="I54" i="1"/>
  <c r="H54" i="1"/>
  <c r="G54" i="1"/>
  <c r="D54" i="1"/>
  <c r="C54" i="1"/>
  <c r="M53" i="1"/>
  <c r="L53" i="1"/>
  <c r="K53" i="1"/>
  <c r="J53" i="1"/>
  <c r="I53" i="1"/>
  <c r="H53" i="1"/>
  <c r="G53" i="1"/>
  <c r="D53" i="1"/>
  <c r="C53" i="1"/>
  <c r="M52" i="1"/>
  <c r="L52" i="1"/>
  <c r="K52" i="1"/>
  <c r="J52" i="1"/>
  <c r="I52" i="1"/>
  <c r="H52" i="1"/>
  <c r="G52" i="1"/>
  <c r="D52" i="1"/>
  <c r="C52" i="1"/>
  <c r="M51" i="1"/>
  <c r="L51" i="1"/>
  <c r="K51" i="1"/>
  <c r="J51" i="1"/>
  <c r="I51" i="1"/>
  <c r="H51" i="1"/>
  <c r="G51" i="1"/>
  <c r="D51" i="1"/>
  <c r="C51" i="1"/>
  <c r="M50" i="1"/>
  <c r="L50" i="1"/>
  <c r="K50" i="1"/>
  <c r="J50" i="1"/>
  <c r="I50" i="1"/>
  <c r="H50" i="1"/>
  <c r="G50" i="1"/>
  <c r="D50" i="1"/>
  <c r="C50" i="1"/>
  <c r="M49" i="1"/>
  <c r="L49" i="1"/>
  <c r="K49" i="1"/>
  <c r="J49" i="1"/>
  <c r="I49" i="1"/>
  <c r="H49" i="1"/>
  <c r="G49" i="1"/>
  <c r="D49" i="1"/>
  <c r="C49" i="1"/>
  <c r="M48" i="1"/>
  <c r="L48" i="1"/>
  <c r="K48" i="1"/>
  <c r="J48" i="1"/>
  <c r="I48" i="1"/>
  <c r="H48" i="1"/>
  <c r="G48" i="1"/>
  <c r="D48" i="1"/>
  <c r="C48" i="1"/>
  <c r="M47" i="1"/>
  <c r="L47" i="1"/>
  <c r="K47" i="1"/>
  <c r="J47" i="1"/>
  <c r="I47" i="1"/>
  <c r="H47" i="1"/>
  <c r="G47" i="1"/>
  <c r="D47" i="1"/>
  <c r="C47" i="1"/>
  <c r="M46" i="1"/>
  <c r="L46" i="1"/>
  <c r="K46" i="1"/>
  <c r="J46" i="1"/>
  <c r="I46" i="1"/>
  <c r="H46" i="1"/>
  <c r="G46" i="1"/>
  <c r="D46" i="1"/>
  <c r="C46" i="1"/>
  <c r="M45" i="1"/>
  <c r="L45" i="1"/>
  <c r="K45" i="1"/>
  <c r="J45" i="1"/>
  <c r="I45" i="1"/>
  <c r="H45" i="1"/>
  <c r="G45" i="1"/>
  <c r="D45" i="1"/>
  <c r="C45" i="1"/>
  <c r="M44" i="1"/>
  <c r="L44" i="1"/>
  <c r="K44" i="1"/>
  <c r="J44" i="1"/>
  <c r="I44" i="1"/>
  <c r="H44" i="1"/>
  <c r="G44" i="1"/>
  <c r="D44" i="1"/>
  <c r="C44" i="1"/>
  <c r="M43" i="1"/>
  <c r="L43" i="1"/>
  <c r="K43" i="1"/>
  <c r="J43" i="1"/>
  <c r="I43" i="1"/>
  <c r="H43" i="1"/>
  <c r="G43" i="1"/>
  <c r="D43" i="1"/>
  <c r="C43" i="1"/>
  <c r="M42" i="1"/>
  <c r="L42" i="1"/>
  <c r="K42" i="1"/>
  <c r="J42" i="1"/>
  <c r="I42" i="1"/>
  <c r="H42" i="1"/>
  <c r="G42" i="1"/>
  <c r="D42" i="1"/>
  <c r="C42" i="1"/>
  <c r="M41" i="1"/>
  <c r="L41" i="1"/>
  <c r="K41" i="1"/>
  <c r="J41" i="1"/>
  <c r="I41" i="1"/>
  <c r="H41" i="1"/>
  <c r="G41" i="1"/>
  <c r="D41" i="1"/>
  <c r="C41" i="1"/>
  <c r="M40" i="1"/>
  <c r="L40" i="1"/>
  <c r="K40" i="1"/>
  <c r="J40" i="1"/>
  <c r="I40" i="1"/>
  <c r="H40" i="1"/>
  <c r="G40" i="1"/>
  <c r="D40" i="1"/>
  <c r="C40" i="1"/>
  <c r="M39" i="1"/>
  <c r="L39" i="1"/>
  <c r="K39" i="1"/>
  <c r="J39" i="1"/>
  <c r="I39" i="1"/>
  <c r="H39" i="1"/>
  <c r="G39" i="1"/>
  <c r="D39" i="1"/>
  <c r="C39" i="1"/>
  <c r="M38" i="1"/>
  <c r="L38" i="1"/>
  <c r="K38" i="1"/>
  <c r="J38" i="1"/>
  <c r="I38" i="1"/>
  <c r="H38" i="1"/>
  <c r="G38" i="1"/>
  <c r="D38" i="1"/>
  <c r="C38" i="1"/>
  <c r="M37" i="1"/>
  <c r="L37" i="1"/>
  <c r="K37" i="1"/>
  <c r="J37" i="1"/>
  <c r="I37" i="1"/>
  <c r="H37" i="1"/>
  <c r="G37" i="1"/>
  <c r="D37" i="1"/>
  <c r="C37" i="1"/>
  <c r="M36" i="1"/>
  <c r="L36" i="1"/>
  <c r="K36" i="1"/>
  <c r="J36" i="1"/>
  <c r="I36" i="1"/>
  <c r="H36" i="1"/>
  <c r="G36" i="1"/>
  <c r="D36" i="1"/>
  <c r="C36" i="1"/>
  <c r="M35" i="1"/>
  <c r="L35" i="1"/>
  <c r="K35" i="1"/>
  <c r="J35" i="1"/>
  <c r="I35" i="1"/>
  <c r="H35" i="1"/>
  <c r="G35" i="1"/>
  <c r="D35" i="1"/>
  <c r="C35" i="1"/>
  <c r="M34" i="1"/>
  <c r="L34" i="1"/>
  <c r="K34" i="1"/>
  <c r="J34" i="1"/>
  <c r="I34" i="1"/>
  <c r="H34" i="1"/>
  <c r="G34" i="1"/>
  <c r="D34" i="1"/>
  <c r="C34" i="1"/>
  <c r="M33" i="1"/>
  <c r="L33" i="1"/>
  <c r="K33" i="1"/>
  <c r="J33" i="1"/>
  <c r="I33" i="1"/>
  <c r="H33" i="1"/>
  <c r="G33" i="1"/>
  <c r="D33" i="1"/>
  <c r="C33" i="1"/>
  <c r="M32" i="1"/>
  <c r="L32" i="1"/>
  <c r="K32" i="1"/>
  <c r="J32" i="1"/>
  <c r="I32" i="1"/>
  <c r="H32" i="1"/>
  <c r="G32" i="1"/>
  <c r="D32" i="1"/>
  <c r="C32" i="1"/>
  <c r="M31" i="1"/>
  <c r="L31" i="1"/>
  <c r="K31" i="1"/>
  <c r="J31" i="1"/>
  <c r="I31" i="1"/>
  <c r="H31" i="1"/>
  <c r="G31" i="1"/>
  <c r="D31" i="1"/>
  <c r="C31" i="1"/>
  <c r="M30" i="1"/>
  <c r="L30" i="1"/>
  <c r="K30" i="1"/>
  <c r="J30" i="1"/>
  <c r="I30" i="1"/>
  <c r="H30" i="1"/>
  <c r="G30" i="1"/>
  <c r="D30" i="1"/>
  <c r="C30" i="1"/>
  <c r="M29" i="1"/>
  <c r="L29" i="1"/>
  <c r="K29" i="1"/>
  <c r="J29" i="1"/>
  <c r="I29" i="1"/>
  <c r="H29" i="1"/>
  <c r="G29" i="1"/>
  <c r="D29" i="1"/>
  <c r="C29" i="1"/>
  <c r="M28" i="1"/>
  <c r="L28" i="1"/>
  <c r="K28" i="1"/>
  <c r="J28" i="1"/>
  <c r="I28" i="1"/>
  <c r="H28" i="1"/>
  <c r="G28" i="1"/>
  <c r="D28" i="1"/>
  <c r="C28" i="1"/>
  <c r="M27" i="1"/>
  <c r="L27" i="1"/>
  <c r="K27" i="1"/>
  <c r="J27" i="1"/>
  <c r="I27" i="1"/>
  <c r="H27" i="1"/>
  <c r="G27" i="1"/>
  <c r="D27" i="1"/>
  <c r="C27" i="1"/>
  <c r="M26" i="1"/>
  <c r="L26" i="1"/>
  <c r="K26" i="1"/>
  <c r="J26" i="1"/>
  <c r="I26" i="1"/>
  <c r="H26" i="1"/>
  <c r="G26" i="1"/>
  <c r="D26" i="1"/>
  <c r="C26" i="1"/>
  <c r="M25" i="1"/>
  <c r="L25" i="1"/>
  <c r="K25" i="1"/>
  <c r="J25" i="1"/>
  <c r="I25" i="1"/>
  <c r="H25" i="1"/>
  <c r="G25" i="1"/>
  <c r="D25" i="1"/>
  <c r="C25" i="1"/>
  <c r="M24" i="1"/>
  <c r="L24" i="1"/>
  <c r="K24" i="1"/>
  <c r="J24" i="1"/>
  <c r="I24" i="1"/>
  <c r="H24" i="1"/>
  <c r="G24" i="1"/>
  <c r="D24" i="1"/>
  <c r="C24" i="1"/>
  <c r="M23" i="1"/>
  <c r="L23" i="1"/>
  <c r="K23" i="1"/>
  <c r="J23" i="1"/>
  <c r="I23" i="1"/>
  <c r="H23" i="1"/>
  <c r="G23" i="1"/>
  <c r="D23" i="1"/>
  <c r="C23" i="1"/>
  <c r="M22" i="1"/>
  <c r="L22" i="1"/>
  <c r="K22" i="1"/>
  <c r="J22" i="1"/>
  <c r="I22" i="1"/>
  <c r="H22" i="1"/>
  <c r="G22" i="1"/>
  <c r="D22" i="1"/>
  <c r="C22" i="1"/>
  <c r="M21" i="1"/>
  <c r="L21" i="1"/>
  <c r="K21" i="1"/>
  <c r="J21" i="1"/>
  <c r="I21" i="1"/>
  <c r="H21" i="1"/>
  <c r="G21" i="1"/>
  <c r="D21" i="1"/>
  <c r="C21" i="1"/>
  <c r="M20" i="1"/>
  <c r="L20" i="1"/>
  <c r="K20" i="1"/>
  <c r="J20" i="1"/>
  <c r="I20" i="1"/>
  <c r="H20" i="1"/>
  <c r="G20" i="1"/>
  <c r="D20" i="1"/>
  <c r="C20" i="1"/>
  <c r="M19" i="1"/>
  <c r="L19" i="1"/>
  <c r="K19" i="1"/>
  <c r="J19" i="1"/>
  <c r="I19" i="1"/>
  <c r="H19" i="1"/>
  <c r="G19" i="1"/>
  <c r="D19" i="1"/>
  <c r="C19" i="1"/>
  <c r="M18" i="1"/>
  <c r="L18" i="1"/>
  <c r="K18" i="1"/>
  <c r="J18" i="1"/>
  <c r="I18" i="1"/>
  <c r="H18" i="1"/>
  <c r="G18" i="1"/>
  <c r="D18" i="1"/>
  <c r="C18" i="1"/>
  <c r="M17" i="1"/>
  <c r="L17" i="1"/>
  <c r="K17" i="1"/>
  <c r="J17" i="1"/>
  <c r="I17" i="1"/>
  <c r="H17" i="1"/>
  <c r="G17" i="1"/>
  <c r="D17" i="1"/>
  <c r="C17" i="1"/>
  <c r="M16" i="1"/>
  <c r="L16" i="1"/>
  <c r="K16" i="1"/>
  <c r="J16" i="1"/>
  <c r="I16" i="1"/>
  <c r="H16" i="1"/>
  <c r="G16" i="1"/>
  <c r="D16" i="1"/>
  <c r="C16" i="1"/>
  <c r="M15" i="1"/>
  <c r="L15" i="1"/>
  <c r="K15" i="1"/>
  <c r="J15" i="1"/>
  <c r="I15" i="1"/>
  <c r="H15" i="1"/>
  <c r="G15" i="1"/>
  <c r="D15" i="1"/>
  <c r="C15" i="1"/>
  <c r="M14" i="1"/>
  <c r="L14" i="1"/>
  <c r="K14" i="1"/>
  <c r="J14" i="1"/>
  <c r="I14" i="1"/>
  <c r="H14" i="1"/>
  <c r="G14" i="1"/>
  <c r="D14" i="1"/>
  <c r="C14" i="1"/>
  <c r="M13" i="1"/>
  <c r="L13" i="1"/>
  <c r="K13" i="1"/>
  <c r="J13" i="1"/>
  <c r="I13" i="1"/>
  <c r="H13" i="1"/>
  <c r="G13" i="1"/>
  <c r="D13" i="1"/>
  <c r="C13" i="1"/>
  <c r="M12" i="1"/>
  <c r="L12" i="1"/>
  <c r="K12" i="1"/>
  <c r="J12" i="1"/>
  <c r="I12" i="1"/>
  <c r="H12" i="1"/>
  <c r="G12" i="1"/>
  <c r="D12" i="1"/>
  <c r="C12" i="1"/>
  <c r="M11" i="1"/>
  <c r="L11" i="1"/>
  <c r="K11" i="1"/>
  <c r="J11" i="1"/>
  <c r="I11" i="1"/>
  <c r="H11" i="1"/>
  <c r="G11" i="1"/>
  <c r="D11" i="1"/>
  <c r="C11" i="1"/>
  <c r="M10" i="1"/>
  <c r="L10" i="1"/>
  <c r="K10" i="1"/>
  <c r="J10" i="1"/>
  <c r="I10" i="1"/>
  <c r="H10" i="1"/>
  <c r="G10" i="1"/>
  <c r="D10" i="1"/>
  <c r="C10" i="1"/>
  <c r="M9" i="1"/>
  <c r="L9" i="1"/>
  <c r="K9" i="1"/>
  <c r="J9" i="1"/>
  <c r="I9" i="1"/>
  <c r="H9" i="1"/>
  <c r="G9" i="1"/>
  <c r="D9" i="1"/>
  <c r="C9" i="1"/>
  <c r="M8" i="1"/>
  <c r="L8" i="1"/>
  <c r="K8" i="1"/>
  <c r="J8" i="1"/>
  <c r="I8" i="1"/>
  <c r="H8" i="1"/>
  <c r="G8" i="1"/>
  <c r="D8" i="1"/>
  <c r="C8" i="1"/>
  <c r="M7" i="1"/>
  <c r="L7" i="1"/>
  <c r="K7" i="1"/>
  <c r="J7" i="1"/>
  <c r="I7" i="1"/>
  <c r="H7" i="1"/>
  <c r="G7" i="1"/>
  <c r="D7" i="1"/>
  <c r="C7" i="1"/>
  <c r="M6" i="1"/>
  <c r="L6" i="1"/>
  <c r="K6" i="1"/>
  <c r="J6" i="1"/>
  <c r="I6" i="1"/>
  <c r="H6" i="1"/>
  <c r="G6" i="1"/>
  <c r="D6" i="1"/>
  <c r="C6" i="1"/>
  <c r="M5" i="1"/>
  <c r="L5" i="1"/>
  <c r="K5" i="1"/>
  <c r="J5" i="1"/>
  <c r="I5" i="1"/>
  <c r="H5" i="1"/>
  <c r="G5" i="1"/>
  <c r="D5" i="1"/>
  <c r="C5" i="1"/>
  <c r="M4" i="1"/>
  <c r="L4" i="1"/>
  <c r="K4" i="1"/>
  <c r="J4" i="1"/>
  <c r="I4" i="1"/>
  <c r="H4" i="1"/>
  <c r="G4" i="1"/>
  <c r="D4" i="1"/>
  <c r="C4" i="1"/>
  <c r="M3" i="1"/>
  <c r="L3" i="1"/>
  <c r="K3" i="1"/>
  <c r="J3" i="1"/>
  <c r="I3" i="1"/>
  <c r="H3" i="1"/>
  <c r="G3" i="1"/>
  <c r="D3" i="1"/>
  <c r="C3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<sst xmlns="http://schemas.openxmlformats.org/spreadsheetml/2006/main" count="13" uniqueCount="13">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</sst>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116.30434</c:v>
                </c:pt>
                <c:pt idx="1">
                  <c:v>86.982119999999995</c:v>
                </c:pt>
                <c:pt idx="2">
                  <c:v>83.486919999999998</c:v>
                </c:pt>
                <c:pt idx="3">
                  <c:v>85.191029999999998</c:v>
                </c:pt>
                <c:pt idx="4">
                  <c:v>95.894409999999993</c:v>
                </c:pt>
                <c:pt idx="5">
                  <c:v>94.831909999999993</c:v>
                </c:pt>
                <c:pt idx="6">
                  <c:v>103.19065999999999</c:v>
                </c:pt>
                <c:pt idx="7">
                  <c:v>89.770520000000005</c:v>
                </c:pt>
                <c:pt idx="8">
                  <c:v>99.458079999999995</c:v>
                </c:pt>
                <c:pt idx="9">
                  <c:v>89.644469999999998</c:v>
                </c:pt>
                <c:pt idx="10">
                  <c:v>63.559280000000001</c:v>
                </c:pt>
                <c:pt idx="11">
                  <c:v>53.694600000000001</c:v>
                </c:pt>
                <c:pt idx="12">
                  <c:v>76.893289999999993</c:v>
                </c:pt>
                <c:pt idx="13">
                  <c:v>84.328199999999995</c:v>
                </c:pt>
                <c:pt idx="14">
                  <c:v>69.013859999999994</c:v>
                </c:pt>
                <c:pt idx="15">
                  <c:v>65.589070000000007</c:v>
                </c:pt>
                <c:pt idx="16">
                  <c:v>80.313230000000004</c:v>
                </c:pt>
                <c:pt idx="17">
                  <c:v>86.006079999999997</c:v>
                </c:pt>
                <c:pt idx="18">
                  <c:v>85.02901</c:v>
                </c:pt>
                <c:pt idx="19">
                  <c:v>104.00299</c:v>
                </c:pt>
                <c:pt idx="20">
                  <c:v>87.174909999999997</c:v>
                </c:pt>
                <c:pt idx="21">
                  <c:v>86.781180000000006</c:v>
                </c:pt>
                <c:pt idx="22">
                  <c:v>115.22514</c:v>
                </c:pt>
                <c:pt idx="23">
                  <c:v>117.7731</c:v>
                </c:pt>
                <c:pt idx="24">
                  <c:v>143.45909</c:v>
                </c:pt>
                <c:pt idx="25">
                  <c:v>135.364</c:v>
                </c:pt>
                <c:pt idx="26">
                  <c:v>139.75049000000001</c:v>
                </c:pt>
                <c:pt idx="27">
                  <c:v>150.81136000000001</c:v>
                </c:pt>
                <c:pt idx="28">
                  <c:v>166.16108</c:v>
                </c:pt>
                <c:pt idx="29">
                  <c:v>135.07948999999999</c:v>
                </c:pt>
                <c:pt idx="30">
                  <c:v>140.50237000000001</c:v>
                </c:pt>
                <c:pt idx="31">
                  <c:v>160.34661</c:v>
                </c:pt>
                <c:pt idx="32">
                  <c:v>156.54698999999999</c:v>
                </c:pt>
                <c:pt idx="33">
                  <c:v>149.51541</c:v>
                </c:pt>
                <c:pt idx="34">
                  <c:v>141.88527999999999</c:v>
                </c:pt>
                <c:pt idx="35">
                  <c:v>129.6566</c:v>
                </c:pt>
                <c:pt idx="36">
                  <c:v>164.37297000000001</c:v>
                </c:pt>
                <c:pt idx="37">
                  <c:v>170.71467000000001</c:v>
                </c:pt>
                <c:pt idx="38">
                  <c:v>144.76544999999999</c:v>
                </c:pt>
                <c:pt idx="39">
                  <c:v>130.15734</c:v>
                </c:pt>
                <c:pt idx="40">
                  <c:v>127.46995</c:v>
                </c:pt>
                <c:pt idx="41">
                  <c:v>135.81863000000001</c:v>
                </c:pt>
                <c:pt idx="42">
                  <c:v>123.36373</c:v>
                </c:pt>
                <c:pt idx="43">
                  <c:v>93.168440000000004</c:v>
                </c:pt>
                <c:pt idx="44">
                  <c:v>160.30855</c:v>
                </c:pt>
                <c:pt idx="45">
                  <c:v>139.03171</c:v>
                </c:pt>
                <c:pt idx="46">
                  <c:v>129.98908</c:v>
                </c:pt>
                <c:pt idx="47">
                  <c:v>122.24964</c:v>
                </c:pt>
                <c:pt idx="48">
                  <c:v>178.90472</c:v>
                </c:pt>
                <c:pt idx="49">
                  <c:v>153.20090999999999</c:v>
                </c:pt>
                <c:pt idx="50">
                  <c:v>123.90103000000001</c:v>
                </c:pt>
                <c:pt idx="51">
                  <c:v>110.71647</c:v>
                </c:pt>
                <c:pt idx="52">
                  <c:v>140.07324</c:v>
                </c:pt>
                <c:pt idx="53">
                  <c:v>150.27795</c:v>
                </c:pt>
                <c:pt idx="54">
                  <c:v>162.59369000000001</c:v>
                </c:pt>
                <c:pt idx="55">
                  <c:v>165.08089000000001</c:v>
                </c:pt>
                <c:pt idx="56">
                  <c:v>119.96114</c:v>
                </c:pt>
                <c:pt idx="57">
                  <c:v>119.4799</c:v>
                </c:pt>
                <c:pt idx="58">
                  <c:v>159.97098</c:v>
                </c:pt>
                <c:pt idx="59">
                  <c:v>187.32117</c:v>
                </c:pt>
                <c:pt idx="60">
                  <c:v>114.79451</c:v>
                </c:pt>
                <c:pt idx="61">
                  <c:v>148.2337</c:v>
                </c:pt>
                <c:pt idx="62">
                  <c:v>200.31110000000001</c:v>
                </c:pt>
                <c:pt idx="63">
                  <c:v>250.75344999999999</c:v>
                </c:pt>
                <c:pt idx="64">
                  <c:v>118.10257</c:v>
                </c:pt>
                <c:pt idx="65">
                  <c:v>161.22604999999999</c:v>
                </c:pt>
                <c:pt idx="66">
                  <c:v>214.31412</c:v>
                </c:pt>
                <c:pt idx="67">
                  <c:v>249.70155</c:v>
                </c:pt>
                <c:pt idx="68">
                  <c:v>112.21065</c:v>
                </c:pt>
                <c:pt idx="69">
                  <c:v>120.89657</c:v>
                </c:pt>
                <c:pt idx="70">
                  <c:v>174.07113000000001</c:v>
                </c:pt>
                <c:pt idx="71">
                  <c:v>235.76924</c:v>
                </c:pt>
                <c:pt idx="72">
                  <c:v>140.55802</c:v>
                </c:pt>
                <c:pt idx="73">
                  <c:v>151.03066000000001</c:v>
                </c:pt>
                <c:pt idx="74">
                  <c:v>112.84668000000001</c:v>
                </c:pt>
                <c:pt idx="75">
                  <c:v>106.81950999999999</c:v>
                </c:pt>
                <c:pt idx="76">
                  <c:v>156.45295999999999</c:v>
                </c:pt>
                <c:pt idx="77">
                  <c:v>119.76777</c:v>
                </c:pt>
                <c:pt idx="78">
                  <c:v>87.692909999999998</c:v>
                </c:pt>
                <c:pt idx="79">
                  <c:v>41.79054</c:v>
                </c:pt>
                <c:pt idx="80">
                  <c:v>96.952420000000004</c:v>
                </c:pt>
                <c:pt idx="81">
                  <c:v>99.436920000000001</c:v>
                </c:pt>
                <c:pt idx="82">
                  <c:v>64.824730000000002</c:v>
                </c:pt>
                <c:pt idx="83">
                  <c:v>49.943339999999999</c:v>
                </c:pt>
                <c:pt idx="84">
                  <c:v>104.12435000000001</c:v>
                </c:pt>
                <c:pt idx="85">
                  <c:v>81.214640000000003</c:v>
                </c:pt>
                <c:pt idx="86">
                  <c:v>54.411299999999997</c:v>
                </c:pt>
                <c:pt idx="87">
                  <c:v>43.097560000000001</c:v>
                </c:pt>
                <c:pt idx="88">
                  <c:v>86.994200000000006</c:v>
                </c:pt>
                <c:pt idx="89">
                  <c:v>60.650100000000002</c:v>
                </c:pt>
                <c:pt idx="90">
                  <c:v>44.121049999999997</c:v>
                </c:pt>
                <c:pt idx="91">
                  <c:v>42.299160000000001</c:v>
                </c:pt>
                <c:pt idx="92">
                  <c:v>74.661280000000005</c:v>
                </c:pt>
                <c:pt idx="93">
                  <c:v>40.361370000000001</c:v>
                </c:pt>
                <c:pt idx="94">
                  <c:v>34.266240000000003</c:v>
                </c:pt>
                <c:pt idx="95">
                  <c:v>25.544160000000002</c:v>
                </c:pt>
                <c:pt idx="96">
                  <c:v>66.574929999999995</c:v>
                </c:pt>
                <c:pt idx="97">
                  <c:v>117.56092</c:v>
                </c:pt>
                <c:pt idx="98">
                  <c:v>97.001419999999996</c:v>
                </c:pt>
                <c:pt idx="99">
                  <c:v>72.953530000000001</c:v>
                </c:pt>
                <c:pt idx="100">
                  <c:v>95.687809999999999</c:v>
                </c:pt>
                <c:pt idx="101">
                  <c:v>102.40619</c:v>
                </c:pt>
                <c:pt idx="102">
                  <c:v>81.245940000000004</c:v>
                </c:pt>
                <c:pt idx="103">
                  <c:v>133.88186999999999</c:v>
                </c:pt>
                <c:pt idx="104">
                  <c:v>88.466989999999996</c:v>
                </c:pt>
                <c:pt idx="105">
                  <c:v>113.06795</c:v>
                </c:pt>
                <c:pt idx="106">
                  <c:v>119.59422000000001</c:v>
                </c:pt>
                <c:pt idx="107">
                  <c:v>107.47221</c:v>
                </c:pt>
                <c:pt idx="108">
                  <c:v>88.112700000000004</c:v>
                </c:pt>
                <c:pt idx="109">
                  <c:v>95.381</c:v>
                </c:pt>
                <c:pt idx="110">
                  <c:v>101.25183</c:v>
                </c:pt>
                <c:pt idx="111">
                  <c:v>95.803610000000006</c:v>
                </c:pt>
                <c:pt idx="112">
                  <c:v>68.685730000000007</c:v>
                </c:pt>
                <c:pt idx="113">
                  <c:v>102.25986</c:v>
                </c:pt>
                <c:pt idx="114">
                  <c:v>141.22153</c:v>
                </c:pt>
                <c:pt idx="115">
                  <c:v>162.74669</c:v>
                </c:pt>
                <c:pt idx="116">
                  <c:v>160.68956</c:v>
                </c:pt>
                <c:pt idx="117">
                  <c:v>164.79364000000001</c:v>
                </c:pt>
                <c:pt idx="118">
                  <c:v>190.24135000000001</c:v>
                </c:pt>
                <c:pt idx="119">
                  <c:v>199.06360000000001</c:v>
                </c:pt>
                <c:pt idx="120">
                  <c:v>164.42889</c:v>
                </c:pt>
                <c:pt idx="121">
                  <c:v>217.08991</c:v>
                </c:pt>
                <c:pt idx="122">
                  <c:v>264.10444999999999</c:v>
                </c:pt>
                <c:pt idx="123">
                  <c:v>279.60626999999999</c:v>
                </c:pt>
                <c:pt idx="124">
                  <c:v>217.43449000000001</c:v>
                </c:pt>
                <c:pt idx="125">
                  <c:v>235.0616</c:v>
                </c:pt>
                <c:pt idx="126">
                  <c:v>274.33553000000001</c:v>
                </c:pt>
                <c:pt idx="127">
                  <c:v>292.28656000000001</c:v>
                </c:pt>
                <c:pt idx="128">
                  <c:v>308.93191999999999</c:v>
                </c:pt>
                <c:pt idx="129">
                  <c:v>304.61201</c:v>
                </c:pt>
                <c:pt idx="130">
                  <c:v>317.05732</c:v>
                </c:pt>
                <c:pt idx="131">
                  <c:v>313.67327999999998</c:v>
                </c:pt>
                <c:pt idx="132">
                  <c:v>356.13932999999997</c:v>
                </c:pt>
                <c:pt idx="133">
                  <c:v>362.87810999999999</c:v>
                </c:pt>
                <c:pt idx="134">
                  <c:v>359.06011999999998</c:v>
                </c:pt>
                <c:pt idx="135">
                  <c:v>341.88225</c:v>
                </c:pt>
                <c:pt idx="136">
                  <c:v>336.64996000000002</c:v>
                </c:pt>
                <c:pt idx="137">
                  <c:v>325.59643</c:v>
                </c:pt>
                <c:pt idx="138">
                  <c:v>280.48039</c:v>
                </c:pt>
                <c:pt idx="139">
                  <c:v>255.99955</c:v>
                </c:pt>
                <c:pt idx="140">
                  <c:v>237.77314000000001</c:v>
                </c:pt>
                <c:pt idx="141">
                  <c:v>223.92153999999999</c:v>
                </c:pt>
                <c:pt idx="142">
                  <c:v>242.53273999999999</c:v>
                </c:pt>
                <c:pt idx="143">
                  <c:v>242.12027</c:v>
                </c:pt>
                <c:pt idx="144">
                  <c:v>203.72132999999999</c:v>
                </c:pt>
                <c:pt idx="145">
                  <c:v>202.25572</c:v>
                </c:pt>
                <c:pt idx="146">
                  <c:v>191.53754000000001</c:v>
                </c:pt>
                <c:pt idx="147">
                  <c:v>140.84870000000001</c:v>
                </c:pt>
                <c:pt idx="148">
                  <c:v>114.27339000000001</c:v>
                </c:pt>
                <c:pt idx="149">
                  <c:v>145.28558000000001</c:v>
                </c:pt>
                <c:pt idx="150">
                  <c:v>117.13419</c:v>
                </c:pt>
                <c:pt idx="151">
                  <c:v>107.92824</c:v>
                </c:pt>
                <c:pt idx="152">
                  <c:v>185.28298000000001</c:v>
                </c:pt>
                <c:pt idx="153">
                  <c:v>166.66591</c:v>
                </c:pt>
                <c:pt idx="154">
                  <c:v>161.59143</c:v>
                </c:pt>
                <c:pt idx="155">
                  <c:v>210.52128999999999</c:v>
                </c:pt>
                <c:pt idx="156">
                  <c:v>161.13472999999999</c:v>
                </c:pt>
                <c:pt idx="157">
                  <c:v>156.96693999999999</c:v>
                </c:pt>
                <c:pt idx="158">
                  <c:v>172.09790000000001</c:v>
                </c:pt>
                <c:pt idx="159">
                  <c:v>194.51166000000001</c:v>
                </c:pt>
                <c:pt idx="160">
                  <c:v>162.38246000000001</c:v>
                </c:pt>
                <c:pt idx="161">
                  <c:v>154.77105</c:v>
                </c:pt>
                <c:pt idx="162">
                  <c:v>183.66820000000001</c:v>
                </c:pt>
                <c:pt idx="163">
                  <c:v>216.93665999999999</c:v>
                </c:pt>
                <c:pt idx="164">
                  <c:v>156.72053</c:v>
                </c:pt>
                <c:pt idx="165">
                  <c:v>155.33514</c:v>
                </c:pt>
                <c:pt idx="166">
                  <c:v>226.42986999999999</c:v>
                </c:pt>
                <c:pt idx="167">
                  <c:v>265.78019</c:v>
                </c:pt>
                <c:pt idx="168">
                  <c:v>187.12688</c:v>
                </c:pt>
                <c:pt idx="169">
                  <c:v>202.84862000000001</c:v>
                </c:pt>
                <c:pt idx="170">
                  <c:v>208.50774999999999</c:v>
                </c:pt>
                <c:pt idx="171">
                  <c:v>215.86059</c:v>
                </c:pt>
                <c:pt idx="172">
                  <c:v>239.73296999999999</c:v>
                </c:pt>
                <c:pt idx="173">
                  <c:v>240.42984000000001</c:v>
                </c:pt>
                <c:pt idx="174">
                  <c:v>233.56852000000001</c:v>
                </c:pt>
                <c:pt idx="175">
                  <c:v>218.13714999999999</c:v>
                </c:pt>
                <c:pt idx="176">
                  <c:v>280.86412999999999</c:v>
                </c:pt>
                <c:pt idx="177">
                  <c:v>248.62647000000001</c:v>
                </c:pt>
                <c:pt idx="178">
                  <c:v>224.30070000000001</c:v>
                </c:pt>
                <c:pt idx="179">
                  <c:v>169.21695</c:v>
                </c:pt>
                <c:pt idx="180">
                  <c:v>232.79205999999999</c:v>
                </c:pt>
                <c:pt idx="181">
                  <c:v>195.37273999999999</c:v>
                </c:pt>
                <c:pt idx="182">
                  <c:v>136.61643000000001</c:v>
                </c:pt>
                <c:pt idx="183">
                  <c:v>116.18007</c:v>
                </c:pt>
                <c:pt idx="184">
                  <c:v>243.97122999999999</c:v>
                </c:pt>
                <c:pt idx="185">
                  <c:v>252.26362</c:v>
                </c:pt>
                <c:pt idx="186">
                  <c:v>221.09091000000001</c:v>
                </c:pt>
                <c:pt idx="187">
                  <c:v>190.03066999999999</c:v>
                </c:pt>
                <c:pt idx="188">
                  <c:v>250.16980000000001</c:v>
                </c:pt>
                <c:pt idx="189">
                  <c:v>242.99126999999999</c:v>
                </c:pt>
                <c:pt idx="190">
                  <c:v>254.69538</c:v>
                </c:pt>
                <c:pt idx="191">
                  <c:v>215.01346000000001</c:v>
                </c:pt>
                <c:pt idx="192">
                  <c:v>89.142359999999996</c:v>
                </c:pt>
                <c:pt idx="193">
                  <c:v>175.96539000000001</c:v>
                </c:pt>
                <c:pt idx="194">
                  <c:v>166.31018</c:v>
                </c:pt>
                <c:pt idx="195">
                  <c:v>143.66813999999999</c:v>
                </c:pt>
                <c:pt idx="196">
                  <c:v>206.58948000000001</c:v>
                </c:pt>
                <c:pt idx="197">
                  <c:v>230.43618000000001</c:v>
                </c:pt>
                <c:pt idx="198">
                  <c:v>243.13627</c:v>
                </c:pt>
                <c:pt idx="199">
                  <c:v>215.35498000000001</c:v>
                </c:pt>
                <c:pt idx="200">
                  <c:v>223.02035000000001</c:v>
                </c:pt>
                <c:pt idx="201">
                  <c:v>206.90360000000001</c:v>
                </c:pt>
                <c:pt idx="202">
                  <c:v>201.43698000000001</c:v>
                </c:pt>
                <c:pt idx="203">
                  <c:v>203.52553</c:v>
                </c:pt>
                <c:pt idx="204">
                  <c:v>218.93722</c:v>
                </c:pt>
                <c:pt idx="205">
                  <c:v>182.08189999999999</c:v>
                </c:pt>
                <c:pt idx="206">
                  <c:v>186.09854000000001</c:v>
                </c:pt>
                <c:pt idx="207">
                  <c:v>172.77929</c:v>
                </c:pt>
                <c:pt idx="208">
                  <c:v>128.70202</c:v>
                </c:pt>
                <c:pt idx="209">
                  <c:v>147.34719000000001</c:v>
                </c:pt>
                <c:pt idx="210">
                  <c:v>184.43358000000001</c:v>
                </c:pt>
                <c:pt idx="211">
                  <c:v>190.59048999999999</c:v>
                </c:pt>
                <c:pt idx="212">
                  <c:v>184.95821000000001</c:v>
                </c:pt>
                <c:pt idx="213">
                  <c:v>245.85031000000001</c:v>
                </c:pt>
                <c:pt idx="214">
                  <c:v>234.31729999999999</c:v>
                </c:pt>
                <c:pt idx="215">
                  <c:v>218.65826000000001</c:v>
                </c:pt>
                <c:pt idx="216">
                  <c:v>272.10620999999998</c:v>
                </c:pt>
                <c:pt idx="217">
                  <c:v>317.36023</c:v>
                </c:pt>
                <c:pt idx="218">
                  <c:v>381.78233999999998</c:v>
                </c:pt>
                <c:pt idx="219">
                  <c:v>323.70244000000002</c:v>
                </c:pt>
                <c:pt idx="220">
                  <c:v>201.65042</c:v>
                </c:pt>
                <c:pt idx="221">
                  <c:v>209.71898999999999</c:v>
                </c:pt>
                <c:pt idx="222">
                  <c:v>231.66099</c:v>
                </c:pt>
                <c:pt idx="223">
                  <c:v>208.63015999999999</c:v>
                </c:pt>
                <c:pt idx="224">
                  <c:v>228.03331</c:v>
                </c:pt>
                <c:pt idx="225">
                  <c:v>232.71045000000001</c:v>
                </c:pt>
                <c:pt idx="226">
                  <c:v>231.75507999999999</c:v>
                </c:pt>
                <c:pt idx="227">
                  <c:v>227.25885</c:v>
                </c:pt>
                <c:pt idx="228">
                  <c:v>221.20079000000001</c:v>
                </c:pt>
                <c:pt idx="229">
                  <c:v>227.96594999999999</c:v>
                </c:pt>
                <c:pt idx="230">
                  <c:v>191.31694999999999</c:v>
                </c:pt>
                <c:pt idx="231">
                  <c:v>186.72801000000001</c:v>
                </c:pt>
                <c:pt idx="232">
                  <c:v>240.51730000000001</c:v>
                </c:pt>
                <c:pt idx="233">
                  <c:v>226.67117999999999</c:v>
                </c:pt>
                <c:pt idx="234">
                  <c:v>188.1361</c:v>
                </c:pt>
                <c:pt idx="235">
                  <c:v>166.48910000000001</c:v>
                </c:pt>
                <c:pt idx="236">
                  <c:v>229.09321</c:v>
                </c:pt>
                <c:pt idx="237">
                  <c:v>229.76874000000001</c:v>
                </c:pt>
                <c:pt idx="238">
                  <c:v>232.34899999999999</c:v>
                </c:pt>
                <c:pt idx="239">
                  <c:v>223.21737999999999</c:v>
                </c:pt>
                <c:pt idx="240">
                  <c:v>226.08626000000001</c:v>
                </c:pt>
                <c:pt idx="241">
                  <c:v>239.61644999999999</c:v>
                </c:pt>
                <c:pt idx="242">
                  <c:v>237.89681999999999</c:v>
                </c:pt>
                <c:pt idx="243">
                  <c:v>226.54655</c:v>
                </c:pt>
                <c:pt idx="244">
                  <c:v>228.59105</c:v>
                </c:pt>
                <c:pt idx="245">
                  <c:v>213.97998999999999</c:v>
                </c:pt>
                <c:pt idx="246">
                  <c:v>210.70167000000001</c:v>
                </c:pt>
                <c:pt idx="247">
                  <c:v>188.03046000000001</c:v>
                </c:pt>
                <c:pt idx="248">
                  <c:v>235.29068000000001</c:v>
                </c:pt>
                <c:pt idx="249">
                  <c:v>242.64131</c:v>
                </c:pt>
                <c:pt idx="250">
                  <c:v>270.73768000000001</c:v>
                </c:pt>
                <c:pt idx="251">
                  <c:v>273.94758999999999</c:v>
                </c:pt>
                <c:pt idx="252">
                  <c:v>246.55171999999999</c:v>
                </c:pt>
                <c:pt idx="253">
                  <c:v>239.73213000000001</c:v>
                </c:pt>
                <c:pt idx="254">
                  <c:v>251.63801000000001</c:v>
                </c:pt>
                <c:pt idx="255">
                  <c:v>242.84645</c:v>
                </c:pt>
                <c:pt idx="256">
                  <c:v>193.51455999999999</c:v>
                </c:pt>
                <c:pt idx="257">
                  <c:v>184.42044000000001</c:v>
                </c:pt>
                <c:pt idx="258">
                  <c:v>164.29912999999999</c:v>
                </c:pt>
                <c:pt idx="259">
                  <c:v>184.0197</c:v>
                </c:pt>
                <c:pt idx="260">
                  <c:v>122.21258</c:v>
                </c:pt>
                <c:pt idx="261">
                  <c:v>146.23473000000001</c:v>
                </c:pt>
                <c:pt idx="262">
                  <c:v>158.41238000000001</c:v>
                </c:pt>
                <c:pt idx="263">
                  <c:v>215.72363000000001</c:v>
                </c:pt>
                <c:pt idx="264">
                  <c:v>160.38341</c:v>
                </c:pt>
                <c:pt idx="265">
                  <c:v>159.96056999999999</c:v>
                </c:pt>
                <c:pt idx="266">
                  <c:v>155.38573</c:v>
                </c:pt>
                <c:pt idx="267">
                  <c:v>154.31656000000001</c:v>
                </c:pt>
                <c:pt idx="268">
                  <c:v>160.51045999999999</c:v>
                </c:pt>
                <c:pt idx="269">
                  <c:v>141.65459000000001</c:v>
                </c:pt>
                <c:pt idx="270">
                  <c:v>140.64381</c:v>
                </c:pt>
                <c:pt idx="271">
                  <c:v>124.84805</c:v>
                </c:pt>
                <c:pt idx="272">
                  <c:v>167.69641999999999</c:v>
                </c:pt>
                <c:pt idx="273">
                  <c:v>109.80121</c:v>
                </c:pt>
                <c:pt idx="274">
                  <c:v>104.23685999999999</c:v>
                </c:pt>
                <c:pt idx="275">
                  <c:v>111.88558999999999</c:v>
                </c:pt>
                <c:pt idx="276">
                  <c:v>174.78869</c:v>
                </c:pt>
                <c:pt idx="277">
                  <c:v>161.11936</c:v>
                </c:pt>
                <c:pt idx="278">
                  <c:v>177.60606999999999</c:v>
                </c:pt>
                <c:pt idx="279">
                  <c:v>173.92010999999999</c:v>
                </c:pt>
                <c:pt idx="280">
                  <c:v>254.28407000000001</c:v>
                </c:pt>
                <c:pt idx="281">
                  <c:v>207.95033000000001</c:v>
                </c:pt>
                <c:pt idx="282">
                  <c:v>203.95366999999999</c:v>
                </c:pt>
                <c:pt idx="283">
                  <c:v>198.97352000000001</c:v>
                </c:pt>
                <c:pt idx="284">
                  <c:v>241.63221999999999</c:v>
                </c:pt>
                <c:pt idx="285">
                  <c:v>193.56836000000001</c:v>
                </c:pt>
                <c:pt idx="286">
                  <c:v>158.48649</c:v>
                </c:pt>
                <c:pt idx="287">
                  <c:v>129.65123</c:v>
                </c:pt>
                <c:pt idx="288">
                  <c:v>47.035530000000001</c:v>
                </c:pt>
                <c:pt idx="289">
                  <c:v>43.032760000000003</c:v>
                </c:pt>
                <c:pt idx="290">
                  <c:v>37.4071</c:v>
                </c:pt>
                <c:pt idx="291">
                  <c:v>40.13814</c:v>
                </c:pt>
                <c:pt idx="292">
                  <c:v>105.52461</c:v>
                </c:pt>
                <c:pt idx="293">
                  <c:v>129.85068999999999</c:v>
                </c:pt>
                <c:pt idx="294">
                  <c:v>138.91568000000001</c:v>
                </c:pt>
                <c:pt idx="295">
                  <c:v>102.94371</c:v>
                </c:pt>
                <c:pt idx="296">
                  <c:v>117.24951</c:v>
                </c:pt>
                <c:pt idx="297">
                  <c:v>106.41942</c:v>
                </c:pt>
                <c:pt idx="298">
                  <c:v>77.759789999999995</c:v>
                </c:pt>
                <c:pt idx="299">
                  <c:v>68.966650000000001</c:v>
                </c:pt>
                <c:pt idx="300">
                  <c:v>84.005380000000002</c:v>
                </c:pt>
                <c:pt idx="301">
                  <c:v>79.992199999999997</c:v>
                </c:pt>
                <c:pt idx="302">
                  <c:v>49.855080000000001</c:v>
                </c:pt>
                <c:pt idx="303">
                  <c:v>92.813450000000003</c:v>
                </c:pt>
                <c:pt idx="304">
                  <c:v>93.910619999999994</c:v>
                </c:pt>
                <c:pt idx="305">
                  <c:v>93.844999999999999</c:v>
                </c:pt>
                <c:pt idx="306">
                  <c:v>56.811160000000001</c:v>
                </c:pt>
                <c:pt idx="307">
                  <c:v>98.953310000000002</c:v>
                </c:pt>
                <c:pt idx="308">
                  <c:v>70.000839999999997</c:v>
                </c:pt>
                <c:pt idx="309">
                  <c:v>70.824910000000003</c:v>
                </c:pt>
                <c:pt idx="310">
                  <c:v>93.19632</c:v>
                </c:pt>
                <c:pt idx="311">
                  <c:v>113.27403</c:v>
                </c:pt>
                <c:pt idx="312">
                  <c:v>135.41209000000001</c:v>
                </c:pt>
                <c:pt idx="313">
                  <c:v>88.343410000000006</c:v>
                </c:pt>
                <c:pt idx="314">
                  <c:v>117.19359</c:v>
                </c:pt>
                <c:pt idx="315">
                  <c:v>135.87852000000001</c:v>
                </c:pt>
                <c:pt idx="316">
                  <c:v>116.65976999999999</c:v>
                </c:pt>
                <c:pt idx="317">
                  <c:v>100.83538</c:v>
                </c:pt>
                <c:pt idx="318">
                  <c:v>100.68366</c:v>
                </c:pt>
                <c:pt idx="319">
                  <c:v>101.32013999999999</c:v>
                </c:pt>
                <c:pt idx="320">
                  <c:v>203.30268000000001</c:v>
                </c:pt>
                <c:pt idx="321">
                  <c:v>218.81603999999999</c:v>
                </c:pt>
                <c:pt idx="322">
                  <c:v>185.50441000000001</c:v>
                </c:pt>
                <c:pt idx="323">
                  <c:v>183.10670999999999</c:v>
                </c:pt>
                <c:pt idx="324">
                  <c:v>182.60147000000001</c:v>
                </c:pt>
                <c:pt idx="325">
                  <c:v>213.30772999999999</c:v>
                </c:pt>
                <c:pt idx="326">
                  <c:v>218.59045</c:v>
                </c:pt>
                <c:pt idx="327">
                  <c:v>205.76346000000001</c:v>
                </c:pt>
                <c:pt idx="328">
                  <c:v>187.80876000000001</c:v>
                </c:pt>
                <c:pt idx="329">
                  <c:v>219.94085999999999</c:v>
                </c:pt>
                <c:pt idx="330">
                  <c:v>208.12629000000001</c:v>
                </c:pt>
                <c:pt idx="331">
                  <c:v>218.22031000000001</c:v>
                </c:pt>
                <c:pt idx="332">
                  <c:v>164.16895</c:v>
                </c:pt>
                <c:pt idx="333">
                  <c:v>186.59997000000001</c:v>
                </c:pt>
                <c:pt idx="334">
                  <c:v>180.51096999999999</c:v>
                </c:pt>
                <c:pt idx="335">
                  <c:v>191.92498000000001</c:v>
                </c:pt>
                <c:pt idx="336">
                  <c:v>196.55011999999999</c:v>
                </c:pt>
                <c:pt idx="337">
                  <c:v>209.33545000000001</c:v>
                </c:pt>
                <c:pt idx="338">
                  <c:v>226.84728999999999</c:v>
                </c:pt>
                <c:pt idx="339">
                  <c:v>220.34530000000001</c:v>
                </c:pt>
                <c:pt idx="340">
                  <c:v>236.07699</c:v>
                </c:pt>
                <c:pt idx="341">
                  <c:v>218.94492</c:v>
                </c:pt>
                <c:pt idx="342">
                  <c:v>205.98956999999999</c:v>
                </c:pt>
                <c:pt idx="343">
                  <c:v>215.98729</c:v>
                </c:pt>
                <c:pt idx="344">
                  <c:v>238.69018</c:v>
                </c:pt>
                <c:pt idx="345">
                  <c:v>242.79324</c:v>
                </c:pt>
                <c:pt idx="346">
                  <c:v>253.75297</c:v>
                </c:pt>
                <c:pt idx="347">
                  <c:v>198.81369000000001</c:v>
                </c:pt>
                <c:pt idx="348">
                  <c:v>119.63408</c:v>
                </c:pt>
                <c:pt idx="349">
                  <c:v>173.26963000000001</c:v>
                </c:pt>
                <c:pt idx="350">
                  <c:v>196.37853999999999</c:v>
                </c:pt>
                <c:pt idx="351">
                  <c:v>245.83051</c:v>
                </c:pt>
                <c:pt idx="352">
                  <c:v>187.74689000000001</c:v>
                </c:pt>
                <c:pt idx="353">
                  <c:v>136.68115</c:v>
                </c:pt>
                <c:pt idx="354">
                  <c:v>173.14302000000001</c:v>
                </c:pt>
                <c:pt idx="355">
                  <c:v>198.45481000000001</c:v>
                </c:pt>
                <c:pt idx="356">
                  <c:v>114.59912</c:v>
                </c:pt>
                <c:pt idx="357">
                  <c:v>114.00375</c:v>
                </c:pt>
                <c:pt idx="358">
                  <c:v>154.1139</c:v>
                </c:pt>
                <c:pt idx="359">
                  <c:v>190.56952999999999</c:v>
                </c:pt>
                <c:pt idx="360">
                  <c:v>191.82044999999999</c:v>
                </c:pt>
                <c:pt idx="361">
                  <c:v>183.32037</c:v>
                </c:pt>
                <c:pt idx="362">
                  <c:v>195.03996000000001</c:v>
                </c:pt>
                <c:pt idx="363">
                  <c:v>202.90004999999999</c:v>
                </c:pt>
                <c:pt idx="364">
                  <c:v>175.71460999999999</c:v>
                </c:pt>
                <c:pt idx="365">
                  <c:v>194.54166000000001</c:v>
                </c:pt>
                <c:pt idx="366">
                  <c:v>188.68711999999999</c:v>
                </c:pt>
                <c:pt idx="367">
                  <c:v>172.44099</c:v>
                </c:pt>
                <c:pt idx="368">
                  <c:v>200.97576000000001</c:v>
                </c:pt>
                <c:pt idx="369">
                  <c:v>199.34721999999999</c:v>
                </c:pt>
                <c:pt idx="370">
                  <c:v>157.25606999999999</c:v>
                </c:pt>
                <c:pt idx="371">
                  <c:v>182.34693999999999</c:v>
                </c:pt>
                <c:pt idx="372">
                  <c:v>309.2294</c:v>
                </c:pt>
                <c:pt idx="373">
                  <c:v>258.74495000000002</c:v>
                </c:pt>
                <c:pt idx="374">
                  <c:v>192.39913000000001</c:v>
                </c:pt>
                <c:pt idx="375">
                  <c:v>171.20361</c:v>
                </c:pt>
                <c:pt idx="376">
                  <c:v>185.23624000000001</c:v>
                </c:pt>
                <c:pt idx="377">
                  <c:v>213.29299</c:v>
                </c:pt>
                <c:pt idx="378">
                  <c:v>179.84416999999999</c:v>
                </c:pt>
                <c:pt idx="379">
                  <c:v>167.68373</c:v>
                </c:pt>
                <c:pt idx="380">
                  <c:v>232.91453999999999</c:v>
                </c:pt>
                <c:pt idx="381">
                  <c:v>157.46362999999999</c:v>
                </c:pt>
                <c:pt idx="382">
                  <c:v>117.93528000000001</c:v>
                </c:pt>
                <c:pt idx="383">
                  <c:v>86.609830000000002</c:v>
                </c:pt>
                <c:pt idx="384">
                  <c:v>33.013750000000002</c:v>
                </c:pt>
                <c:pt idx="385">
                  <c:v>11.947979999999999</c:v>
                </c:pt>
                <c:pt idx="386">
                  <c:v>1.4100299999999999</c:v>
                </c:pt>
                <c:pt idx="387">
                  <c:v>13.83705</c:v>
                </c:pt>
                <c:pt idx="388">
                  <c:v>123.33709</c:v>
                </c:pt>
                <c:pt idx="389">
                  <c:v>103.93957</c:v>
                </c:pt>
                <c:pt idx="390">
                  <c:v>100.67896</c:v>
                </c:pt>
                <c:pt idx="391">
                  <c:v>111.8361</c:v>
                </c:pt>
                <c:pt idx="392">
                  <c:v>118.80938999999999</c:v>
                </c:pt>
                <c:pt idx="393">
                  <c:v>100.77382</c:v>
                </c:pt>
                <c:pt idx="394">
                  <c:v>85.332409999999996</c:v>
                </c:pt>
                <c:pt idx="395">
                  <c:v>90.999970000000005</c:v>
                </c:pt>
                <c:pt idx="396">
                  <c:v>120.99536999999999</c:v>
                </c:pt>
                <c:pt idx="397">
                  <c:v>116.68792999999999</c:v>
                </c:pt>
                <c:pt idx="398">
                  <c:v>89.102199999999996</c:v>
                </c:pt>
                <c:pt idx="399">
                  <c:v>98.115489999999994</c:v>
                </c:pt>
                <c:pt idx="400">
                  <c:v>89.181259999999995</c:v>
                </c:pt>
                <c:pt idx="401">
                  <c:v>106.13736</c:v>
                </c:pt>
                <c:pt idx="402">
                  <c:v>96.876739999999998</c:v>
                </c:pt>
                <c:pt idx="403">
                  <c:v>121.37469</c:v>
                </c:pt>
                <c:pt idx="404">
                  <c:v>101.81927</c:v>
                </c:pt>
                <c:pt idx="405">
                  <c:v>97.559920000000005</c:v>
                </c:pt>
                <c:pt idx="406">
                  <c:v>97.953599999999994</c:v>
                </c:pt>
                <c:pt idx="407">
                  <c:v>154.1405</c:v>
                </c:pt>
                <c:pt idx="408">
                  <c:v>99.127870000000001</c:v>
                </c:pt>
                <c:pt idx="409">
                  <c:v>159.66023999999999</c:v>
                </c:pt>
                <c:pt idx="410">
                  <c:v>164.94754</c:v>
                </c:pt>
                <c:pt idx="411">
                  <c:v>144.45943</c:v>
                </c:pt>
                <c:pt idx="412">
                  <c:v>159.39225999999999</c:v>
                </c:pt>
                <c:pt idx="413">
                  <c:v>180.37869000000001</c:v>
                </c:pt>
                <c:pt idx="414">
                  <c:v>122.73233</c:v>
                </c:pt>
                <c:pt idx="415">
                  <c:v>105.01291999999999</c:v>
                </c:pt>
                <c:pt idx="416">
                  <c:v>184.82468</c:v>
                </c:pt>
                <c:pt idx="417">
                  <c:v>158.93765999999999</c:v>
                </c:pt>
                <c:pt idx="418">
                  <c:v>156.42336</c:v>
                </c:pt>
                <c:pt idx="419">
                  <c:v>174.22176999999999</c:v>
                </c:pt>
                <c:pt idx="420">
                  <c:v>217.66767999999999</c:v>
                </c:pt>
                <c:pt idx="421">
                  <c:v>183.27911</c:v>
                </c:pt>
                <c:pt idx="422">
                  <c:v>155.62538000000001</c:v>
                </c:pt>
                <c:pt idx="423">
                  <c:v>125.90523</c:v>
                </c:pt>
                <c:pt idx="424">
                  <c:v>199.51410999999999</c:v>
                </c:pt>
                <c:pt idx="425">
                  <c:v>169.42895999999999</c:v>
                </c:pt>
                <c:pt idx="426">
                  <c:v>180.7141</c:v>
                </c:pt>
                <c:pt idx="427">
                  <c:v>148.27715000000001</c:v>
                </c:pt>
                <c:pt idx="428">
                  <c:v>173.53944999999999</c:v>
                </c:pt>
                <c:pt idx="429">
                  <c:v>137.67902000000001</c:v>
                </c:pt>
                <c:pt idx="430">
                  <c:v>132.24100999999999</c:v>
                </c:pt>
                <c:pt idx="431">
                  <c:v>115.49329</c:v>
                </c:pt>
                <c:pt idx="432">
                  <c:v>158.46540999999999</c:v>
                </c:pt>
                <c:pt idx="433">
                  <c:v>148.1499</c:v>
                </c:pt>
                <c:pt idx="434">
                  <c:v>174.11869999999999</c:v>
                </c:pt>
                <c:pt idx="435">
                  <c:v>143.83251999999999</c:v>
                </c:pt>
                <c:pt idx="436">
                  <c:v>134.69284999999999</c:v>
                </c:pt>
                <c:pt idx="437">
                  <c:v>145.07410999999999</c:v>
                </c:pt>
                <c:pt idx="438">
                  <c:v>147.31154000000001</c:v>
                </c:pt>
                <c:pt idx="439">
                  <c:v>155.69953000000001</c:v>
                </c:pt>
                <c:pt idx="440">
                  <c:v>171.45993999999999</c:v>
                </c:pt>
                <c:pt idx="441">
                  <c:v>130.17277000000001</c:v>
                </c:pt>
                <c:pt idx="442">
                  <c:v>149.20973000000001</c:v>
                </c:pt>
                <c:pt idx="443">
                  <c:v>134.37267</c:v>
                </c:pt>
                <c:pt idx="444">
                  <c:v>67.803349999999995</c:v>
                </c:pt>
                <c:pt idx="445">
                  <c:v>71.277029999999996</c:v>
                </c:pt>
                <c:pt idx="446">
                  <c:v>97.662840000000003</c:v>
                </c:pt>
                <c:pt idx="447">
                  <c:v>128.64717999999999</c:v>
                </c:pt>
                <c:pt idx="448">
                  <c:v>83.019810000000007</c:v>
                </c:pt>
                <c:pt idx="449">
                  <c:v>52.954259999999998</c:v>
                </c:pt>
                <c:pt idx="450">
                  <c:v>89.649730000000005</c:v>
                </c:pt>
                <c:pt idx="451">
                  <c:v>123.37824000000001</c:v>
                </c:pt>
                <c:pt idx="452">
                  <c:v>81.358639999999994</c:v>
                </c:pt>
                <c:pt idx="453">
                  <c:v>91.044319999999999</c:v>
                </c:pt>
                <c:pt idx="454">
                  <c:v>104.98668000000001</c:v>
                </c:pt>
                <c:pt idx="455">
                  <c:v>134.94287</c:v>
                </c:pt>
                <c:pt idx="456">
                  <c:v>168.66762</c:v>
                </c:pt>
                <c:pt idx="457">
                  <c:v>98.162239999999997</c:v>
                </c:pt>
                <c:pt idx="458">
                  <c:v>116.67503000000001</c:v>
                </c:pt>
                <c:pt idx="459">
                  <c:v>113.69392999999999</c:v>
                </c:pt>
                <c:pt idx="460">
                  <c:v>101.02793</c:v>
                </c:pt>
                <c:pt idx="461">
                  <c:v>90.260469999999998</c:v>
                </c:pt>
                <c:pt idx="462">
                  <c:v>129.76598000000001</c:v>
                </c:pt>
                <c:pt idx="463">
                  <c:v>122.31169</c:v>
                </c:pt>
                <c:pt idx="464">
                  <c:v>119.85952</c:v>
                </c:pt>
                <c:pt idx="465">
                  <c:v>79.461830000000006</c:v>
                </c:pt>
                <c:pt idx="466">
                  <c:v>108.84222</c:v>
                </c:pt>
                <c:pt idx="467">
                  <c:v>57.317839999999997</c:v>
                </c:pt>
                <c:pt idx="468">
                  <c:v>90.451499999999996</c:v>
                </c:pt>
                <c:pt idx="469">
                  <c:v>90.16301</c:v>
                </c:pt>
                <c:pt idx="470">
                  <c:v>55.081879999999998</c:v>
                </c:pt>
                <c:pt idx="471">
                  <c:v>20.758690000000001</c:v>
                </c:pt>
                <c:pt idx="472">
                  <c:v>77.55789</c:v>
                </c:pt>
                <c:pt idx="473">
                  <c:v>112.04246000000001</c:v>
                </c:pt>
                <c:pt idx="474">
                  <c:v>61.20908</c:v>
                </c:pt>
                <c:pt idx="475">
                  <c:v>53.826819999999998</c:v>
                </c:pt>
                <c:pt idx="476">
                  <c:v>139.55676</c:v>
                </c:pt>
                <c:pt idx="477">
                  <c:v>117.38863000000001</c:v>
                </c:pt>
                <c:pt idx="478">
                  <c:v>97.4602</c:v>
                </c:pt>
                <c:pt idx="479">
                  <c:v>101.09695000000001</c:v>
                </c:pt>
                <c:pt idx="480">
                  <c:v>41.006390000000003</c:v>
                </c:pt>
                <c:pt idx="481">
                  <c:v>38.403030000000001</c:v>
                </c:pt>
                <c:pt idx="482">
                  <c:v>16.7563</c:v>
                </c:pt>
                <c:pt idx="483">
                  <c:v>11.90672</c:v>
                </c:pt>
                <c:pt idx="484">
                  <c:v>61.01511</c:v>
                </c:pt>
                <c:pt idx="485">
                  <c:v>29.543669999999999</c:v>
                </c:pt>
                <c:pt idx="486">
                  <c:v>19.978210000000001</c:v>
                </c:pt>
                <c:pt idx="487">
                  <c:v>11.46739</c:v>
                </c:pt>
                <c:pt idx="488">
                  <c:v>46.491019999999999</c:v>
                </c:pt>
                <c:pt idx="489">
                  <c:v>32.808799999999998</c:v>
                </c:pt>
                <c:pt idx="490">
                  <c:v>9.3086900000000004</c:v>
                </c:pt>
                <c:pt idx="491">
                  <c:v>3.8428399999999998</c:v>
                </c:pt>
                <c:pt idx="492">
                  <c:v>15.23673</c:v>
                </c:pt>
                <c:pt idx="493">
                  <c:v>28.987110000000001</c:v>
                </c:pt>
                <c:pt idx="494">
                  <c:v>23.757860000000001</c:v>
                </c:pt>
                <c:pt idx="495">
                  <c:v>18.43309</c:v>
                </c:pt>
                <c:pt idx="496">
                  <c:v>20.80734</c:v>
                </c:pt>
                <c:pt idx="497">
                  <c:v>30.5916</c:v>
                </c:pt>
                <c:pt idx="498">
                  <c:v>50.360399999999998</c:v>
                </c:pt>
                <c:pt idx="499">
                  <c:v>41.813519999999997</c:v>
                </c:pt>
                <c:pt idx="500">
                  <c:v>52.33522</c:v>
                </c:pt>
                <c:pt idx="501">
                  <c:v>46.950470000000003</c:v>
                </c:pt>
                <c:pt idx="502">
                  <c:v>50.698650000000001</c:v>
                </c:pt>
                <c:pt idx="503">
                  <c:v>92.712850000000003</c:v>
                </c:pt>
                <c:pt idx="504">
                  <c:v>43.564860000000003</c:v>
                </c:pt>
                <c:pt idx="505">
                  <c:v>56.481859999999998</c:v>
                </c:pt>
                <c:pt idx="506">
                  <c:v>69.835049999999995</c:v>
                </c:pt>
                <c:pt idx="507">
                  <c:v>40.046140000000001</c:v>
                </c:pt>
                <c:pt idx="508">
                  <c:v>28.4024</c:v>
                </c:pt>
                <c:pt idx="509">
                  <c:v>39.503390000000003</c:v>
                </c:pt>
                <c:pt idx="510">
                  <c:v>57.917560000000002</c:v>
                </c:pt>
                <c:pt idx="511">
                  <c:v>41.208019999999998</c:v>
                </c:pt>
                <c:pt idx="512">
                  <c:v>51.974939999999997</c:v>
                </c:pt>
                <c:pt idx="513">
                  <c:v>40.563650000000003</c:v>
                </c:pt>
                <c:pt idx="514">
                  <c:v>50.064190000000004</c:v>
                </c:pt>
                <c:pt idx="515">
                  <c:v>55.577869999999997</c:v>
                </c:pt>
                <c:pt idx="516">
                  <c:v>68.086380000000005</c:v>
                </c:pt>
                <c:pt idx="517">
                  <c:v>46.780430000000003</c:v>
                </c:pt>
                <c:pt idx="518">
                  <c:v>40.60613</c:v>
                </c:pt>
                <c:pt idx="519">
                  <c:v>39.977269999999997</c:v>
                </c:pt>
                <c:pt idx="520">
                  <c:v>16.51182</c:v>
                </c:pt>
                <c:pt idx="521">
                  <c:v>67.115449999999996</c:v>
                </c:pt>
                <c:pt idx="522">
                  <c:v>50.99051</c:v>
                </c:pt>
                <c:pt idx="523">
                  <c:v>61.153350000000003</c:v>
                </c:pt>
                <c:pt idx="524">
                  <c:v>20.90025</c:v>
                </c:pt>
                <c:pt idx="525">
                  <c:v>63.3626</c:v>
                </c:pt>
                <c:pt idx="526">
                  <c:v>53.791589999999999</c:v>
                </c:pt>
                <c:pt idx="527">
                  <c:v>50.502369999999999</c:v>
                </c:pt>
                <c:pt idx="528">
                  <c:v>47.029919999999997</c:v>
                </c:pt>
                <c:pt idx="529">
                  <c:v>56.40117</c:v>
                </c:pt>
                <c:pt idx="530">
                  <c:v>94.229249999999993</c:v>
                </c:pt>
                <c:pt idx="531">
                  <c:v>72.057980000000001</c:v>
                </c:pt>
                <c:pt idx="532">
                  <c:v>74.808809999999994</c:v>
                </c:pt>
                <c:pt idx="533">
                  <c:v>34.319940000000003</c:v>
                </c:pt>
                <c:pt idx="534">
                  <c:v>27.75121</c:v>
                </c:pt>
                <c:pt idx="535">
                  <c:v>26.769580000000001</c:v>
                </c:pt>
                <c:pt idx="536">
                  <c:v>84.028750000000002</c:v>
                </c:pt>
                <c:pt idx="537">
                  <c:v>60.908769999999997</c:v>
                </c:pt>
                <c:pt idx="538">
                  <c:v>43.041379999999997</c:v>
                </c:pt>
                <c:pt idx="539">
                  <c:v>50.08914</c:v>
                </c:pt>
                <c:pt idx="540">
                  <c:v>73.636439999999993</c:v>
                </c:pt>
                <c:pt idx="541">
                  <c:v>55.35924</c:v>
                </c:pt>
                <c:pt idx="542">
                  <c:v>83.383089999999996</c:v>
                </c:pt>
                <c:pt idx="543">
                  <c:v>113.68608</c:v>
                </c:pt>
                <c:pt idx="544">
                  <c:v>90.472430000000003</c:v>
                </c:pt>
                <c:pt idx="545">
                  <c:v>89.880439999999993</c:v>
                </c:pt>
                <c:pt idx="546">
                  <c:v>119.93567</c:v>
                </c:pt>
                <c:pt idx="547">
                  <c:v>139.78199000000001</c:v>
                </c:pt>
                <c:pt idx="548">
                  <c:v>120.55865</c:v>
                </c:pt>
                <c:pt idx="549">
                  <c:v>97.296899999999994</c:v>
                </c:pt>
                <c:pt idx="550">
                  <c:v>144.71669</c:v>
                </c:pt>
                <c:pt idx="551">
                  <c:v>163.37943000000001</c:v>
                </c:pt>
                <c:pt idx="552">
                  <c:v>129.22425000000001</c:v>
                </c:pt>
                <c:pt idx="553">
                  <c:v>145.97049999999999</c:v>
                </c:pt>
                <c:pt idx="554">
                  <c:v>131.08126999999999</c:v>
                </c:pt>
                <c:pt idx="555">
                  <c:v>110.30343999999999</c:v>
                </c:pt>
                <c:pt idx="556">
                  <c:v>208.9691</c:v>
                </c:pt>
                <c:pt idx="557">
                  <c:v>198.98694</c:v>
                </c:pt>
                <c:pt idx="558">
                  <c:v>168.55464000000001</c:v>
                </c:pt>
                <c:pt idx="559">
                  <c:v>169.58862999999999</c:v>
                </c:pt>
                <c:pt idx="560">
                  <c:v>253.49347</c:v>
                </c:pt>
                <c:pt idx="561">
                  <c:v>222.05843999999999</c:v>
                </c:pt>
                <c:pt idx="562">
                  <c:v>202.90540999999999</c:v>
                </c:pt>
                <c:pt idx="563">
                  <c:v>187.23401999999999</c:v>
                </c:pt>
                <c:pt idx="564">
                  <c:v>222.81217000000001</c:v>
                </c:pt>
                <c:pt idx="565">
                  <c:v>227.34118000000001</c:v>
                </c:pt>
                <c:pt idx="566">
                  <c:v>209.00060999999999</c:v>
                </c:pt>
                <c:pt idx="567">
                  <c:v>192.40188000000001</c:v>
                </c:pt>
                <c:pt idx="568">
                  <c:v>179.46053000000001</c:v>
                </c:pt>
                <c:pt idx="569">
                  <c:v>221.63014000000001</c:v>
                </c:pt>
                <c:pt idx="570">
                  <c:v>231.47569999999999</c:v>
                </c:pt>
                <c:pt idx="571">
                  <c:v>232.00967</c:v>
                </c:pt>
                <c:pt idx="572">
                  <c:v>320.67692</c:v>
                </c:pt>
                <c:pt idx="573">
                  <c:v>251.46752000000001</c:v>
                </c:pt>
                <c:pt idx="574">
                  <c:v>243.35699</c:v>
                </c:pt>
                <c:pt idx="575">
                  <c:v>227.98935</c:v>
                </c:pt>
                <c:pt idx="576">
                  <c:v>63.787930000000003</c:v>
                </c:pt>
                <c:pt idx="577">
                  <c:v>123.11394</c:v>
                </c:pt>
                <c:pt idx="578">
                  <c:v>80.076419999999999</c:v>
                </c:pt>
                <c:pt idx="579">
                  <c:v>98.169790000000006</c:v>
                </c:pt>
                <c:pt idx="580">
                  <c:v>172.73602</c:v>
                </c:pt>
                <c:pt idx="581">
                  <c:v>164.99634</c:v>
                </c:pt>
                <c:pt idx="582">
                  <c:v>143.6207</c:v>
                </c:pt>
                <c:pt idx="583">
                  <c:v>152.02149</c:v>
                </c:pt>
                <c:pt idx="584">
                  <c:v>180.35324</c:v>
                </c:pt>
                <c:pt idx="585">
                  <c:v>148.21612999999999</c:v>
                </c:pt>
                <c:pt idx="586">
                  <c:v>136.63138000000001</c:v>
                </c:pt>
                <c:pt idx="587">
                  <c:v>132.6865</c:v>
                </c:pt>
                <c:pt idx="588">
                  <c:v>161.82751999999999</c:v>
                </c:pt>
                <c:pt idx="589">
                  <c:v>150.58443</c:v>
                </c:pt>
                <c:pt idx="590">
                  <c:v>151.02101999999999</c:v>
                </c:pt>
                <c:pt idx="591">
                  <c:v>143.23301000000001</c:v>
                </c:pt>
                <c:pt idx="592">
                  <c:v>137.32722000000001</c:v>
                </c:pt>
                <c:pt idx="593">
                  <c:v>138.91811000000001</c:v>
                </c:pt>
                <c:pt idx="594">
                  <c:v>138.63459</c:v>
                </c:pt>
                <c:pt idx="595">
                  <c:v>148.17838</c:v>
                </c:pt>
                <c:pt idx="596">
                  <c:v>114.31621</c:v>
                </c:pt>
                <c:pt idx="597">
                  <c:v>139.63650999999999</c:v>
                </c:pt>
                <c:pt idx="598">
                  <c:v>130.64847</c:v>
                </c:pt>
                <c:pt idx="599">
                  <c:v>97.995140000000006</c:v>
                </c:pt>
                <c:pt idx="600">
                  <c:v>79.070750000000004</c:v>
                </c:pt>
                <c:pt idx="601">
                  <c:v>92.508520000000004</c:v>
                </c:pt>
                <c:pt idx="602">
                  <c:v>90.093779999999995</c:v>
                </c:pt>
                <c:pt idx="603">
                  <c:v>79.920689999999993</c:v>
                </c:pt>
                <c:pt idx="604">
                  <c:v>104.16744</c:v>
                </c:pt>
                <c:pt idx="605">
                  <c:v>64.566190000000006</c:v>
                </c:pt>
                <c:pt idx="606">
                  <c:v>62.191499999999998</c:v>
                </c:pt>
                <c:pt idx="607">
                  <c:v>71.236999999999995</c:v>
                </c:pt>
                <c:pt idx="608">
                  <c:v>130.11938000000001</c:v>
                </c:pt>
                <c:pt idx="609">
                  <c:v>125.06034</c:v>
                </c:pt>
                <c:pt idx="610">
                  <c:v>101.62826</c:v>
                </c:pt>
                <c:pt idx="611">
                  <c:v>112.25939</c:v>
                </c:pt>
                <c:pt idx="612">
                  <c:v>92.967749999999995</c:v>
                </c:pt>
                <c:pt idx="613">
                  <c:v>65.708979999999997</c:v>
                </c:pt>
                <c:pt idx="614">
                  <c:v>75.411640000000006</c:v>
                </c:pt>
                <c:pt idx="615">
                  <c:v>67.503770000000003</c:v>
                </c:pt>
                <c:pt idx="616">
                  <c:v>74.318610000000007</c:v>
                </c:pt>
                <c:pt idx="617">
                  <c:v>73.9041</c:v>
                </c:pt>
                <c:pt idx="618">
                  <c:v>95.875219999999999</c:v>
                </c:pt>
                <c:pt idx="619">
                  <c:v>137.96808999999999</c:v>
                </c:pt>
                <c:pt idx="620">
                  <c:v>91.220640000000003</c:v>
                </c:pt>
                <c:pt idx="621">
                  <c:v>134.80903000000001</c:v>
                </c:pt>
                <c:pt idx="622">
                  <c:v>121.74226</c:v>
                </c:pt>
                <c:pt idx="623">
                  <c:v>124.22511</c:v>
                </c:pt>
                <c:pt idx="624">
                  <c:v>101.14136000000001</c:v>
                </c:pt>
                <c:pt idx="625">
                  <c:v>109.59908</c:v>
                </c:pt>
                <c:pt idx="626">
                  <c:v>91.587729999999993</c:v>
                </c:pt>
                <c:pt idx="627">
                  <c:v>98.584299999999999</c:v>
                </c:pt>
                <c:pt idx="628">
                  <c:v>110.39624000000001</c:v>
                </c:pt>
                <c:pt idx="629">
                  <c:v>78.687430000000006</c:v>
                </c:pt>
                <c:pt idx="630">
                  <c:v>96.650909999999996</c:v>
                </c:pt>
                <c:pt idx="631">
                  <c:v>106.37358</c:v>
                </c:pt>
                <c:pt idx="632">
                  <c:v>116.20429</c:v>
                </c:pt>
                <c:pt idx="633">
                  <c:v>101.85015</c:v>
                </c:pt>
                <c:pt idx="634">
                  <c:v>110.05419000000001</c:v>
                </c:pt>
                <c:pt idx="635">
                  <c:v>139.17952</c:v>
                </c:pt>
                <c:pt idx="636">
                  <c:v>138.89698999999999</c:v>
                </c:pt>
                <c:pt idx="637">
                  <c:v>104.67625</c:v>
                </c:pt>
                <c:pt idx="638">
                  <c:v>118.39203000000001</c:v>
                </c:pt>
                <c:pt idx="639">
                  <c:v>149.83958000000001</c:v>
                </c:pt>
                <c:pt idx="640">
                  <c:v>99.038679999999999</c:v>
                </c:pt>
                <c:pt idx="641">
                  <c:v>93.15728</c:v>
                </c:pt>
                <c:pt idx="642">
                  <c:v>94.698670000000007</c:v>
                </c:pt>
                <c:pt idx="643">
                  <c:v>157.83141000000001</c:v>
                </c:pt>
                <c:pt idx="644">
                  <c:v>94.273430000000005</c:v>
                </c:pt>
                <c:pt idx="645">
                  <c:v>98.597210000000004</c:v>
                </c:pt>
                <c:pt idx="646">
                  <c:v>191.86068</c:v>
                </c:pt>
                <c:pt idx="647">
                  <c:v>252.20139</c:v>
                </c:pt>
                <c:pt idx="648">
                  <c:v>251.14852999999999</c:v>
                </c:pt>
                <c:pt idx="649">
                  <c:v>161.88677999999999</c:v>
                </c:pt>
                <c:pt idx="650">
                  <c:v>168.40128999999999</c:v>
                </c:pt>
                <c:pt idx="651">
                  <c:v>162.81357</c:v>
                </c:pt>
                <c:pt idx="652">
                  <c:v>239.76801</c:v>
                </c:pt>
                <c:pt idx="653">
                  <c:v>210.55275</c:v>
                </c:pt>
                <c:pt idx="654">
                  <c:v>206.4041</c:v>
                </c:pt>
                <c:pt idx="655">
                  <c:v>202.82726</c:v>
                </c:pt>
                <c:pt idx="656">
                  <c:v>274.18254999999999</c:v>
                </c:pt>
                <c:pt idx="657">
                  <c:v>253.44089</c:v>
                </c:pt>
                <c:pt idx="658">
                  <c:v>238.96895000000001</c:v>
                </c:pt>
                <c:pt idx="659">
                  <c:v>222.15188000000001</c:v>
                </c:pt>
                <c:pt idx="660">
                  <c:v>296.48840999999999</c:v>
                </c:pt>
                <c:pt idx="661">
                  <c:v>272.73881999999998</c:v>
                </c:pt>
                <c:pt idx="662">
                  <c:v>233.40666999999999</c:v>
                </c:pt>
                <c:pt idx="663">
                  <c:v>193.13869</c:v>
                </c:pt>
                <c:pt idx="664">
                  <c:v>239.62835999999999</c:v>
                </c:pt>
                <c:pt idx="665">
                  <c:v>189.84286</c:v>
                </c:pt>
                <c:pt idx="666">
                  <c:v>130.66889</c:v>
                </c:pt>
                <c:pt idx="667">
                  <c:v>103.41892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4.1375105400000001</c:v>
                </c:pt>
                <c:pt idx="1">
                  <c:v>4.2192561199999998</c:v>
                </c:pt>
                <c:pt idx="2">
                  <c:v>3.62261627</c:v>
                </c:pt>
                <c:pt idx="3">
                  <c:v>3.6660636800000002</c:v>
                </c:pt>
                <c:pt idx="4">
                  <c:v>0.65935995000000003</c:v>
                </c:pt>
                <c:pt idx="5">
                  <c:v>0.76223335000000003</c:v>
                </c:pt>
                <c:pt idx="6">
                  <c:v>1.01407007</c:v>
                </c:pt>
                <c:pt idx="7">
                  <c:v>0.67124395000000003</c:v>
                </c:pt>
                <c:pt idx="8">
                  <c:v>0.79007769999999999</c:v>
                </c:pt>
                <c:pt idx="9">
                  <c:v>0.79175682000000003</c:v>
                </c:pt>
                <c:pt idx="10">
                  <c:v>0.81143611999999998</c:v>
                </c:pt>
                <c:pt idx="11">
                  <c:v>0.81926474999999999</c:v>
                </c:pt>
                <c:pt idx="12">
                  <c:v>0.72924528</c:v>
                </c:pt>
                <c:pt idx="13">
                  <c:v>0.73317725</c:v>
                </c:pt>
                <c:pt idx="14">
                  <c:v>0.73549871</c:v>
                </c:pt>
                <c:pt idx="15">
                  <c:v>0.73283788999999999</c:v>
                </c:pt>
                <c:pt idx="16">
                  <c:v>1.03643474</c:v>
                </c:pt>
                <c:pt idx="17">
                  <c:v>1.18586726</c:v>
                </c:pt>
                <c:pt idx="18">
                  <c:v>1.5517435799999999</c:v>
                </c:pt>
                <c:pt idx="19">
                  <c:v>1.5665128500000001</c:v>
                </c:pt>
                <c:pt idx="20">
                  <c:v>15.597626440000001</c:v>
                </c:pt>
                <c:pt idx="21">
                  <c:v>15.59639567</c:v>
                </c:pt>
                <c:pt idx="22">
                  <c:v>8.8621257199999999</c:v>
                </c:pt>
                <c:pt idx="23">
                  <c:v>9.2974826900000007</c:v>
                </c:pt>
                <c:pt idx="24">
                  <c:v>9.8354881200000008</c:v>
                </c:pt>
                <c:pt idx="25">
                  <c:v>9.5486606100000007</c:v>
                </c:pt>
                <c:pt idx="26">
                  <c:v>8.5139509699999998</c:v>
                </c:pt>
                <c:pt idx="27">
                  <c:v>8.3390474300000008</c:v>
                </c:pt>
                <c:pt idx="28">
                  <c:v>6.2725422100000001</c:v>
                </c:pt>
                <c:pt idx="29">
                  <c:v>6.2257297500000002</c:v>
                </c:pt>
                <c:pt idx="30">
                  <c:v>7.0744809499999999</c:v>
                </c:pt>
                <c:pt idx="31">
                  <c:v>6.4669946700000001</c:v>
                </c:pt>
                <c:pt idx="32">
                  <c:v>2.2008120299999998</c:v>
                </c:pt>
                <c:pt idx="33">
                  <c:v>2.1682962799999999</c:v>
                </c:pt>
                <c:pt idx="34">
                  <c:v>1.91226893</c:v>
                </c:pt>
                <c:pt idx="35">
                  <c:v>1.8740361699999999</c:v>
                </c:pt>
                <c:pt idx="36">
                  <c:v>2.2919433900000001</c:v>
                </c:pt>
                <c:pt idx="37">
                  <c:v>2.2259826199999999</c:v>
                </c:pt>
                <c:pt idx="38">
                  <c:v>2.1336844400000001</c:v>
                </c:pt>
                <c:pt idx="39">
                  <c:v>2.11852705</c:v>
                </c:pt>
                <c:pt idx="40">
                  <c:v>1.60340916</c:v>
                </c:pt>
                <c:pt idx="41">
                  <c:v>1.5905710200000001</c:v>
                </c:pt>
                <c:pt idx="42">
                  <c:v>1.5799112</c:v>
                </c:pt>
                <c:pt idx="43">
                  <c:v>1.5879819399999999</c:v>
                </c:pt>
                <c:pt idx="44">
                  <c:v>1.3148043899999999</c:v>
                </c:pt>
                <c:pt idx="45">
                  <c:v>1.3258495400000001</c:v>
                </c:pt>
                <c:pt idx="46">
                  <c:v>1.4260693099999999</c:v>
                </c:pt>
                <c:pt idx="47">
                  <c:v>1.4422095399999999</c:v>
                </c:pt>
                <c:pt idx="48">
                  <c:v>1.57499035</c:v>
                </c:pt>
                <c:pt idx="49">
                  <c:v>1.6065145000000001</c:v>
                </c:pt>
                <c:pt idx="50">
                  <c:v>1.70442629</c:v>
                </c:pt>
                <c:pt idx="51">
                  <c:v>1.7379988900000001</c:v>
                </c:pt>
                <c:pt idx="52">
                  <c:v>1.47917604</c:v>
                </c:pt>
                <c:pt idx="53">
                  <c:v>1.51612813</c:v>
                </c:pt>
                <c:pt idx="54">
                  <c:v>1.5718231300000001</c:v>
                </c:pt>
                <c:pt idx="55">
                  <c:v>1.51714142</c:v>
                </c:pt>
                <c:pt idx="56">
                  <c:v>1.73953282</c:v>
                </c:pt>
                <c:pt idx="57">
                  <c:v>1.71598757</c:v>
                </c:pt>
                <c:pt idx="58">
                  <c:v>1.3244215500000001</c:v>
                </c:pt>
                <c:pt idx="59">
                  <c:v>1.31785507</c:v>
                </c:pt>
                <c:pt idx="60">
                  <c:v>2.32203348</c:v>
                </c:pt>
                <c:pt idx="61">
                  <c:v>2.2973237800000001</c:v>
                </c:pt>
                <c:pt idx="62">
                  <c:v>1.5292967799999999</c:v>
                </c:pt>
                <c:pt idx="63">
                  <c:v>1.4440600699999999</c:v>
                </c:pt>
                <c:pt idx="64">
                  <c:v>4.1262970299999999</c:v>
                </c:pt>
                <c:pt idx="65">
                  <c:v>4.0027592800000003</c:v>
                </c:pt>
                <c:pt idx="66">
                  <c:v>6.2011567100000002</c:v>
                </c:pt>
                <c:pt idx="67">
                  <c:v>6.5593674899999996</c:v>
                </c:pt>
                <c:pt idx="68">
                  <c:v>10.326146469999999</c:v>
                </c:pt>
                <c:pt idx="69">
                  <c:v>9.73056959</c:v>
                </c:pt>
                <c:pt idx="70">
                  <c:v>11.771128450000001</c:v>
                </c:pt>
                <c:pt idx="71">
                  <c:v>11.294139449999999</c:v>
                </c:pt>
                <c:pt idx="72">
                  <c:v>23.726264879999999</c:v>
                </c:pt>
                <c:pt idx="73">
                  <c:v>23.44377776</c:v>
                </c:pt>
                <c:pt idx="74">
                  <c:v>16.809006270000001</c:v>
                </c:pt>
                <c:pt idx="75">
                  <c:v>16.65859554</c:v>
                </c:pt>
                <c:pt idx="76">
                  <c:v>11.55498972</c:v>
                </c:pt>
                <c:pt idx="77">
                  <c:v>12.101372019999999</c:v>
                </c:pt>
                <c:pt idx="78">
                  <c:v>6.0408238699999997</c:v>
                </c:pt>
                <c:pt idx="79">
                  <c:v>6.0772837300000004</c:v>
                </c:pt>
                <c:pt idx="80">
                  <c:v>18.585775779999999</c:v>
                </c:pt>
                <c:pt idx="81">
                  <c:v>17.764822760000001</c:v>
                </c:pt>
                <c:pt idx="82">
                  <c:v>10.377930539999999</c:v>
                </c:pt>
                <c:pt idx="83">
                  <c:v>10.33566838</c:v>
                </c:pt>
                <c:pt idx="84">
                  <c:v>7.7180766500000004</c:v>
                </c:pt>
                <c:pt idx="85">
                  <c:v>7.7690667199999996</c:v>
                </c:pt>
                <c:pt idx="86">
                  <c:v>11.118572779999999</c:v>
                </c:pt>
                <c:pt idx="87">
                  <c:v>11.269940650000001</c:v>
                </c:pt>
                <c:pt idx="88">
                  <c:v>3.7969502099999999</c:v>
                </c:pt>
                <c:pt idx="89">
                  <c:v>3.7120805099999998</c:v>
                </c:pt>
                <c:pt idx="90">
                  <c:v>7.69267287</c:v>
                </c:pt>
                <c:pt idx="91">
                  <c:v>7.8492419499999997</c:v>
                </c:pt>
                <c:pt idx="92">
                  <c:v>3.3261155100000002</c:v>
                </c:pt>
                <c:pt idx="93">
                  <c:v>3.4223755300000001</c:v>
                </c:pt>
                <c:pt idx="94">
                  <c:v>2.57478863</c:v>
                </c:pt>
                <c:pt idx="95">
                  <c:v>2.0833988300000001</c:v>
                </c:pt>
                <c:pt idx="96">
                  <c:v>0.48086690999999998</c:v>
                </c:pt>
                <c:pt idx="97">
                  <c:v>0.50212966999999997</c:v>
                </c:pt>
                <c:pt idx="98">
                  <c:v>0.51529044000000002</c:v>
                </c:pt>
                <c:pt idx="99">
                  <c:v>0.50978199000000002</c:v>
                </c:pt>
                <c:pt idx="100">
                  <c:v>0.34151822999999998</c:v>
                </c:pt>
                <c:pt idx="101">
                  <c:v>0.34363220999999999</c:v>
                </c:pt>
                <c:pt idx="102">
                  <c:v>0.35594861</c:v>
                </c:pt>
                <c:pt idx="103">
                  <c:v>0.36818177000000002</c:v>
                </c:pt>
                <c:pt idx="104">
                  <c:v>0.36549981999999998</c:v>
                </c:pt>
                <c:pt idx="105">
                  <c:v>0.35848912999999999</c:v>
                </c:pt>
                <c:pt idx="106">
                  <c:v>0.36202912999999998</c:v>
                </c:pt>
                <c:pt idx="107">
                  <c:v>0.36684495</c:v>
                </c:pt>
                <c:pt idx="108">
                  <c:v>0.37157780000000001</c:v>
                </c:pt>
                <c:pt idx="109">
                  <c:v>0.36490410000000001</c:v>
                </c:pt>
                <c:pt idx="110">
                  <c:v>0.37665166</c:v>
                </c:pt>
                <c:pt idx="111">
                  <c:v>0.37769788999999998</c:v>
                </c:pt>
                <c:pt idx="112">
                  <c:v>0.35400171000000002</c:v>
                </c:pt>
                <c:pt idx="113">
                  <c:v>0.38817117000000001</c:v>
                </c:pt>
                <c:pt idx="114">
                  <c:v>0.64240122</c:v>
                </c:pt>
                <c:pt idx="115">
                  <c:v>0.71166755999999998</c:v>
                </c:pt>
                <c:pt idx="116">
                  <c:v>11.368554250000001</c:v>
                </c:pt>
                <c:pt idx="117">
                  <c:v>11.306653170000001</c:v>
                </c:pt>
                <c:pt idx="118">
                  <c:v>4.6564355900000001</c:v>
                </c:pt>
                <c:pt idx="119">
                  <c:v>5.5845572299999997</c:v>
                </c:pt>
                <c:pt idx="120">
                  <c:v>10.901669829999999</c:v>
                </c:pt>
                <c:pt idx="121">
                  <c:v>10.572010329999999</c:v>
                </c:pt>
                <c:pt idx="122">
                  <c:v>9.6971122699999999</c:v>
                </c:pt>
                <c:pt idx="123">
                  <c:v>9.5003294900000004</c:v>
                </c:pt>
                <c:pt idx="124">
                  <c:v>5.6056982399999997</c:v>
                </c:pt>
                <c:pt idx="125">
                  <c:v>5.5203022800000001</c:v>
                </c:pt>
                <c:pt idx="126">
                  <c:v>9.7171561299999993</c:v>
                </c:pt>
                <c:pt idx="127">
                  <c:v>10.579966199999999</c:v>
                </c:pt>
                <c:pt idx="128">
                  <c:v>7.7028845700000002</c:v>
                </c:pt>
                <c:pt idx="129">
                  <c:v>7.5572781500000001</c:v>
                </c:pt>
                <c:pt idx="130">
                  <c:v>9.7828746300000002</c:v>
                </c:pt>
                <c:pt idx="131">
                  <c:v>9.6847190100000002</c:v>
                </c:pt>
                <c:pt idx="132">
                  <c:v>8.9798746999999999</c:v>
                </c:pt>
                <c:pt idx="133">
                  <c:v>10.55595093</c:v>
                </c:pt>
                <c:pt idx="134">
                  <c:v>16.119299340000001</c:v>
                </c:pt>
                <c:pt idx="135">
                  <c:v>16.148991859999999</c:v>
                </c:pt>
                <c:pt idx="136">
                  <c:v>12.165724190000001</c:v>
                </c:pt>
                <c:pt idx="137">
                  <c:v>12.12262381</c:v>
                </c:pt>
                <c:pt idx="138">
                  <c:v>10.95429433</c:v>
                </c:pt>
                <c:pt idx="139">
                  <c:v>10.934885019999999</c:v>
                </c:pt>
                <c:pt idx="140">
                  <c:v>3.8400336500000001</c:v>
                </c:pt>
                <c:pt idx="141">
                  <c:v>3.7912597699999999</c:v>
                </c:pt>
                <c:pt idx="142">
                  <c:v>13.105473099999999</c:v>
                </c:pt>
                <c:pt idx="143">
                  <c:v>13.10286947</c:v>
                </c:pt>
                <c:pt idx="144">
                  <c:v>14.47899436</c:v>
                </c:pt>
                <c:pt idx="145">
                  <c:v>14.46266342</c:v>
                </c:pt>
                <c:pt idx="146">
                  <c:v>8.2106929599999994</c:v>
                </c:pt>
                <c:pt idx="147">
                  <c:v>8.2875042600000004</c:v>
                </c:pt>
                <c:pt idx="148">
                  <c:v>9.4510097399999999</c:v>
                </c:pt>
                <c:pt idx="149">
                  <c:v>9.4530508399999995</c:v>
                </c:pt>
                <c:pt idx="150">
                  <c:v>11.856590219999999</c:v>
                </c:pt>
                <c:pt idx="151">
                  <c:v>10.69260796</c:v>
                </c:pt>
                <c:pt idx="152">
                  <c:v>8.5162016400000002</c:v>
                </c:pt>
                <c:pt idx="153">
                  <c:v>8.42106551</c:v>
                </c:pt>
                <c:pt idx="154">
                  <c:v>4.5507346799999997</c:v>
                </c:pt>
                <c:pt idx="155">
                  <c:v>4.5544140100000003</c:v>
                </c:pt>
                <c:pt idx="156">
                  <c:v>5.3521365899999997</c:v>
                </c:pt>
                <c:pt idx="157">
                  <c:v>5.3791091700000004</c:v>
                </c:pt>
                <c:pt idx="158">
                  <c:v>11.81938313</c:v>
                </c:pt>
                <c:pt idx="159">
                  <c:v>11.81363554</c:v>
                </c:pt>
                <c:pt idx="160">
                  <c:v>8.6540939100000003</c:v>
                </c:pt>
                <c:pt idx="161">
                  <c:v>8.71558426</c:v>
                </c:pt>
                <c:pt idx="162">
                  <c:v>7.2571090399999996</c:v>
                </c:pt>
                <c:pt idx="163">
                  <c:v>7.69459845</c:v>
                </c:pt>
                <c:pt idx="164">
                  <c:v>15.05128068</c:v>
                </c:pt>
                <c:pt idx="165">
                  <c:v>14.143950950000001</c:v>
                </c:pt>
                <c:pt idx="166">
                  <c:v>23.882199849999999</c:v>
                </c:pt>
                <c:pt idx="167">
                  <c:v>22.529293330000002</c:v>
                </c:pt>
                <c:pt idx="168">
                  <c:v>26.27077778</c:v>
                </c:pt>
                <c:pt idx="169">
                  <c:v>26.128803009999999</c:v>
                </c:pt>
                <c:pt idx="170">
                  <c:v>23.741948090000001</c:v>
                </c:pt>
                <c:pt idx="171">
                  <c:v>23.573287870000001</c:v>
                </c:pt>
                <c:pt idx="172">
                  <c:v>7.3633620400000002</c:v>
                </c:pt>
                <c:pt idx="173">
                  <c:v>7.4061239900000002</c:v>
                </c:pt>
                <c:pt idx="174">
                  <c:v>13.95001716</c:v>
                </c:pt>
                <c:pt idx="175">
                  <c:v>13.93960641</c:v>
                </c:pt>
                <c:pt idx="176">
                  <c:v>21.185334279999999</c:v>
                </c:pt>
                <c:pt idx="177">
                  <c:v>24.629544060000001</c:v>
                </c:pt>
                <c:pt idx="178">
                  <c:v>27.059653369999999</c:v>
                </c:pt>
                <c:pt idx="179">
                  <c:v>27.788509099999999</c:v>
                </c:pt>
                <c:pt idx="180">
                  <c:v>8.7099799699999991</c:v>
                </c:pt>
                <c:pt idx="181">
                  <c:v>8.8870581699999995</c:v>
                </c:pt>
                <c:pt idx="182">
                  <c:v>21.14517592</c:v>
                </c:pt>
                <c:pt idx="183">
                  <c:v>25.122167480000002</c:v>
                </c:pt>
                <c:pt idx="184">
                  <c:v>11.452681780000001</c:v>
                </c:pt>
                <c:pt idx="185">
                  <c:v>11.2669064</c:v>
                </c:pt>
                <c:pt idx="186">
                  <c:v>5.57765734</c:v>
                </c:pt>
                <c:pt idx="187">
                  <c:v>5.9425544099999996</c:v>
                </c:pt>
                <c:pt idx="188">
                  <c:v>10.96733893</c:v>
                </c:pt>
                <c:pt idx="189">
                  <c:v>11.276566089999999</c:v>
                </c:pt>
                <c:pt idx="190">
                  <c:v>10.05734511</c:v>
                </c:pt>
                <c:pt idx="191">
                  <c:v>10.38769252</c:v>
                </c:pt>
                <c:pt idx="192">
                  <c:v>0.33915506000000001</c:v>
                </c:pt>
                <c:pt idx="193">
                  <c:v>0.35393962000000001</c:v>
                </c:pt>
                <c:pt idx="194">
                  <c:v>0.35813823</c:v>
                </c:pt>
                <c:pt idx="195">
                  <c:v>0.35127585</c:v>
                </c:pt>
                <c:pt idx="196">
                  <c:v>0.49689524000000002</c:v>
                </c:pt>
                <c:pt idx="197">
                  <c:v>0.49940500999999998</c:v>
                </c:pt>
                <c:pt idx="198">
                  <c:v>0.50424323999999998</c:v>
                </c:pt>
                <c:pt idx="199">
                  <c:v>0.50293076999999997</c:v>
                </c:pt>
                <c:pt idx="200">
                  <c:v>0.43395715000000001</c:v>
                </c:pt>
                <c:pt idx="201">
                  <c:v>0.44187062999999999</c:v>
                </c:pt>
                <c:pt idx="202">
                  <c:v>0.56443697000000004</c:v>
                </c:pt>
                <c:pt idx="203">
                  <c:v>0.56494959</c:v>
                </c:pt>
                <c:pt idx="204">
                  <c:v>0.52810217999999998</c:v>
                </c:pt>
                <c:pt idx="205">
                  <c:v>0.53424488999999997</c:v>
                </c:pt>
                <c:pt idx="206">
                  <c:v>0.54020696999999995</c:v>
                </c:pt>
                <c:pt idx="207">
                  <c:v>0.53983877000000002</c:v>
                </c:pt>
                <c:pt idx="208">
                  <c:v>0.35726922999999999</c:v>
                </c:pt>
                <c:pt idx="209">
                  <c:v>0.34765047999999998</c:v>
                </c:pt>
                <c:pt idx="210">
                  <c:v>0.34087034999999999</c:v>
                </c:pt>
                <c:pt idx="211">
                  <c:v>0.33543058999999997</c:v>
                </c:pt>
                <c:pt idx="212">
                  <c:v>2.5653731299999998</c:v>
                </c:pt>
                <c:pt idx="213">
                  <c:v>2.5951421699999999</c:v>
                </c:pt>
                <c:pt idx="214">
                  <c:v>2.5415396800000001</c:v>
                </c:pt>
                <c:pt idx="215">
                  <c:v>2.5052701900000001</c:v>
                </c:pt>
                <c:pt idx="216">
                  <c:v>2.8934792100000002</c:v>
                </c:pt>
                <c:pt idx="217">
                  <c:v>2.74443269</c:v>
                </c:pt>
                <c:pt idx="218">
                  <c:v>2.5726816700000001</c:v>
                </c:pt>
                <c:pt idx="219">
                  <c:v>2.56189526</c:v>
                </c:pt>
                <c:pt idx="220">
                  <c:v>3.9172765799999998</c:v>
                </c:pt>
                <c:pt idx="221">
                  <c:v>3.7641040399999999</c:v>
                </c:pt>
                <c:pt idx="222">
                  <c:v>3.5979336900000001</c:v>
                </c:pt>
                <c:pt idx="223">
                  <c:v>3.5853554600000002</c:v>
                </c:pt>
                <c:pt idx="224">
                  <c:v>2.4369431600000002</c:v>
                </c:pt>
                <c:pt idx="225">
                  <c:v>2.3829783600000001</c:v>
                </c:pt>
                <c:pt idx="226">
                  <c:v>3.0994353299999999</c:v>
                </c:pt>
                <c:pt idx="227">
                  <c:v>3.0789484300000001</c:v>
                </c:pt>
                <c:pt idx="228">
                  <c:v>2.6322448199999999</c:v>
                </c:pt>
                <c:pt idx="229">
                  <c:v>2.58676686</c:v>
                </c:pt>
                <c:pt idx="230">
                  <c:v>2.7818704599999999</c:v>
                </c:pt>
                <c:pt idx="231">
                  <c:v>2.8284703800000002</c:v>
                </c:pt>
                <c:pt idx="232">
                  <c:v>1.7967270099999999</c:v>
                </c:pt>
                <c:pt idx="233">
                  <c:v>1.7920251899999999</c:v>
                </c:pt>
                <c:pt idx="234">
                  <c:v>1.90829442</c:v>
                </c:pt>
                <c:pt idx="235">
                  <c:v>1.8556351600000001</c:v>
                </c:pt>
                <c:pt idx="236">
                  <c:v>3.0670085999999999</c:v>
                </c:pt>
                <c:pt idx="237">
                  <c:v>3.0682806600000001</c:v>
                </c:pt>
                <c:pt idx="238">
                  <c:v>2.95876552</c:v>
                </c:pt>
                <c:pt idx="239">
                  <c:v>2.9789238600000001</c:v>
                </c:pt>
                <c:pt idx="240">
                  <c:v>2.9872770399999999</c:v>
                </c:pt>
                <c:pt idx="241">
                  <c:v>2.9826450800000002</c:v>
                </c:pt>
                <c:pt idx="242">
                  <c:v>2.9767924899999998</c:v>
                </c:pt>
                <c:pt idx="243">
                  <c:v>2.97874734</c:v>
                </c:pt>
                <c:pt idx="244">
                  <c:v>2.5452934599999999</c:v>
                </c:pt>
                <c:pt idx="245">
                  <c:v>2.5664614100000001</c:v>
                </c:pt>
                <c:pt idx="246">
                  <c:v>2.3965541899999998</c:v>
                </c:pt>
                <c:pt idx="247">
                  <c:v>2.4187610899999998</c:v>
                </c:pt>
                <c:pt idx="248">
                  <c:v>3.0754921400000002</c:v>
                </c:pt>
                <c:pt idx="249">
                  <c:v>3.1030510900000001</c:v>
                </c:pt>
                <c:pt idx="250">
                  <c:v>3.1840320100000001</c:v>
                </c:pt>
                <c:pt idx="251">
                  <c:v>3.20188805</c:v>
                </c:pt>
                <c:pt idx="252">
                  <c:v>3.9620135900000002</c:v>
                </c:pt>
                <c:pt idx="253">
                  <c:v>3.9670974000000001</c:v>
                </c:pt>
                <c:pt idx="254">
                  <c:v>3.8670158799999999</c:v>
                </c:pt>
                <c:pt idx="255">
                  <c:v>3.8603603099999999</c:v>
                </c:pt>
                <c:pt idx="256">
                  <c:v>4.8347161999999999</c:v>
                </c:pt>
                <c:pt idx="257">
                  <c:v>4.8693031199999997</c:v>
                </c:pt>
                <c:pt idx="258">
                  <c:v>5.0239828400000004</c:v>
                </c:pt>
                <c:pt idx="259">
                  <c:v>5.0190356700000001</c:v>
                </c:pt>
                <c:pt idx="260">
                  <c:v>3.17435197</c:v>
                </c:pt>
                <c:pt idx="261">
                  <c:v>3.1997814600000001</c:v>
                </c:pt>
                <c:pt idx="262">
                  <c:v>3.32345655</c:v>
                </c:pt>
                <c:pt idx="263">
                  <c:v>3.2776359500000001</c:v>
                </c:pt>
                <c:pt idx="264">
                  <c:v>2.9619523499999998</c:v>
                </c:pt>
                <c:pt idx="265">
                  <c:v>3.1532545999999999</c:v>
                </c:pt>
                <c:pt idx="266">
                  <c:v>2.87624294</c:v>
                </c:pt>
                <c:pt idx="267">
                  <c:v>4.3567741299999998</c:v>
                </c:pt>
                <c:pt idx="268">
                  <c:v>2.9486983800000002</c:v>
                </c:pt>
                <c:pt idx="269">
                  <c:v>2.9733880099999999</c:v>
                </c:pt>
                <c:pt idx="270">
                  <c:v>3.1239641499999999</c:v>
                </c:pt>
                <c:pt idx="271">
                  <c:v>3.1594295699999999</c:v>
                </c:pt>
                <c:pt idx="272">
                  <c:v>3.6921692699999999</c:v>
                </c:pt>
                <c:pt idx="273">
                  <c:v>3.5771965200000002</c:v>
                </c:pt>
                <c:pt idx="274">
                  <c:v>3.76698713</c:v>
                </c:pt>
                <c:pt idx="275">
                  <c:v>3.8683127599999998</c:v>
                </c:pt>
                <c:pt idx="276">
                  <c:v>5.4551202200000004</c:v>
                </c:pt>
                <c:pt idx="277">
                  <c:v>5.5544275900000004</c:v>
                </c:pt>
                <c:pt idx="278">
                  <c:v>5.3551840899999998</c:v>
                </c:pt>
                <c:pt idx="279">
                  <c:v>5.5229498000000001</c:v>
                </c:pt>
                <c:pt idx="280">
                  <c:v>5.4822034799999999</c:v>
                </c:pt>
                <c:pt idx="281">
                  <c:v>5.5703074900000003</c:v>
                </c:pt>
                <c:pt idx="282">
                  <c:v>5.6049367300000004</c:v>
                </c:pt>
                <c:pt idx="283">
                  <c:v>5.1761980899999998</c:v>
                </c:pt>
                <c:pt idx="284">
                  <c:v>2.9157242600000002</c:v>
                </c:pt>
                <c:pt idx="285">
                  <c:v>2.9563469000000002</c:v>
                </c:pt>
                <c:pt idx="286">
                  <c:v>2.8917947499999999</c:v>
                </c:pt>
                <c:pt idx="287">
                  <c:v>2.7456957700000002</c:v>
                </c:pt>
                <c:pt idx="288">
                  <c:v>2.49716366</c:v>
                </c:pt>
                <c:pt idx="289">
                  <c:v>2.55673036</c:v>
                </c:pt>
                <c:pt idx="290">
                  <c:v>2.26964626</c:v>
                </c:pt>
                <c:pt idx="291">
                  <c:v>2.2830917400000001</c:v>
                </c:pt>
                <c:pt idx="292">
                  <c:v>1.7141732199999999</c:v>
                </c:pt>
                <c:pt idx="293">
                  <c:v>1.71526197</c:v>
                </c:pt>
                <c:pt idx="294">
                  <c:v>1.8345768200000001</c:v>
                </c:pt>
                <c:pt idx="295">
                  <c:v>1.8492861199999999</c:v>
                </c:pt>
                <c:pt idx="296">
                  <c:v>1.4879548499999999</c:v>
                </c:pt>
                <c:pt idx="297">
                  <c:v>1.45742478</c:v>
                </c:pt>
                <c:pt idx="298">
                  <c:v>1.5862469100000001</c:v>
                </c:pt>
                <c:pt idx="299">
                  <c:v>1.57289922</c:v>
                </c:pt>
                <c:pt idx="300">
                  <c:v>1.39361687</c:v>
                </c:pt>
                <c:pt idx="301">
                  <c:v>1.4085584099999999</c:v>
                </c:pt>
                <c:pt idx="302">
                  <c:v>1.48629754</c:v>
                </c:pt>
                <c:pt idx="303">
                  <c:v>1.48115971</c:v>
                </c:pt>
                <c:pt idx="304">
                  <c:v>1.48084197</c:v>
                </c:pt>
                <c:pt idx="305">
                  <c:v>1.48430675</c:v>
                </c:pt>
                <c:pt idx="306">
                  <c:v>1.3285682700000001</c:v>
                </c:pt>
                <c:pt idx="307">
                  <c:v>1.2962180800000001</c:v>
                </c:pt>
                <c:pt idx="308">
                  <c:v>0.67225298</c:v>
                </c:pt>
                <c:pt idx="309">
                  <c:v>0.65361497000000002</c:v>
                </c:pt>
                <c:pt idx="310">
                  <c:v>0.87056449999999996</c:v>
                </c:pt>
                <c:pt idx="311">
                  <c:v>0.95815391999999999</c:v>
                </c:pt>
                <c:pt idx="312">
                  <c:v>2.8954206899999999</c:v>
                </c:pt>
                <c:pt idx="313">
                  <c:v>2.73321842</c:v>
                </c:pt>
                <c:pt idx="314">
                  <c:v>2.43078094</c:v>
                </c:pt>
                <c:pt idx="315">
                  <c:v>2.2004287200000001</c:v>
                </c:pt>
                <c:pt idx="316">
                  <c:v>1.8499741300000001</c:v>
                </c:pt>
                <c:pt idx="317">
                  <c:v>1.80280062</c:v>
                </c:pt>
                <c:pt idx="318">
                  <c:v>1.85329907</c:v>
                </c:pt>
                <c:pt idx="319">
                  <c:v>1.82928107</c:v>
                </c:pt>
                <c:pt idx="320">
                  <c:v>0.93278733999999996</c:v>
                </c:pt>
                <c:pt idx="321">
                  <c:v>0.99865082000000005</c:v>
                </c:pt>
                <c:pt idx="322">
                  <c:v>1.15213443</c:v>
                </c:pt>
                <c:pt idx="323">
                  <c:v>1.1850105500000001</c:v>
                </c:pt>
                <c:pt idx="324">
                  <c:v>1.0951061900000001</c:v>
                </c:pt>
                <c:pt idx="325">
                  <c:v>1.09237446</c:v>
                </c:pt>
                <c:pt idx="326">
                  <c:v>1.15149685</c:v>
                </c:pt>
                <c:pt idx="327">
                  <c:v>1.1235650100000001</c:v>
                </c:pt>
                <c:pt idx="328">
                  <c:v>0.50706174000000004</c:v>
                </c:pt>
                <c:pt idx="329">
                  <c:v>0.50779711000000005</c:v>
                </c:pt>
                <c:pt idx="330">
                  <c:v>0.65627641000000003</c:v>
                </c:pt>
                <c:pt idx="331">
                  <c:v>0.6505803</c:v>
                </c:pt>
                <c:pt idx="332">
                  <c:v>1.04839126</c:v>
                </c:pt>
                <c:pt idx="333">
                  <c:v>1.0503994000000001</c:v>
                </c:pt>
                <c:pt idx="334">
                  <c:v>1.0610112</c:v>
                </c:pt>
                <c:pt idx="335">
                  <c:v>1.04931285</c:v>
                </c:pt>
                <c:pt idx="336">
                  <c:v>1.0517954300000001</c:v>
                </c:pt>
                <c:pt idx="337">
                  <c:v>1.0527250800000001</c:v>
                </c:pt>
                <c:pt idx="338">
                  <c:v>1.19573635</c:v>
                </c:pt>
                <c:pt idx="339">
                  <c:v>1.1938789000000001</c:v>
                </c:pt>
                <c:pt idx="340">
                  <c:v>1.1813696499999999</c:v>
                </c:pt>
                <c:pt idx="341">
                  <c:v>1.1918702800000001</c:v>
                </c:pt>
                <c:pt idx="342">
                  <c:v>1.2012273899999999</c:v>
                </c:pt>
                <c:pt idx="343">
                  <c:v>1.21911909</c:v>
                </c:pt>
                <c:pt idx="344">
                  <c:v>1.8620726700000001</c:v>
                </c:pt>
                <c:pt idx="345">
                  <c:v>1.9189776599999999</c:v>
                </c:pt>
                <c:pt idx="346">
                  <c:v>1.7252086900000001</c:v>
                </c:pt>
                <c:pt idx="347">
                  <c:v>1.7622296099999999</c:v>
                </c:pt>
                <c:pt idx="348">
                  <c:v>1.76297243</c:v>
                </c:pt>
                <c:pt idx="349">
                  <c:v>1.7618806600000001</c:v>
                </c:pt>
                <c:pt idx="350">
                  <c:v>2.1419083400000001</c:v>
                </c:pt>
                <c:pt idx="351">
                  <c:v>2.1137648900000001</c:v>
                </c:pt>
                <c:pt idx="352">
                  <c:v>2.5973913199999998</c:v>
                </c:pt>
                <c:pt idx="353">
                  <c:v>2.6617827599999999</c:v>
                </c:pt>
                <c:pt idx="354">
                  <c:v>2.7202981199999998</c:v>
                </c:pt>
                <c:pt idx="355">
                  <c:v>2.6426578200000002</c:v>
                </c:pt>
                <c:pt idx="356">
                  <c:v>1.54742694</c:v>
                </c:pt>
                <c:pt idx="357">
                  <c:v>1.4619755299999999</c:v>
                </c:pt>
                <c:pt idx="358">
                  <c:v>1.4841484599999999</c:v>
                </c:pt>
                <c:pt idx="359">
                  <c:v>1.4524182999999999</c:v>
                </c:pt>
                <c:pt idx="360">
                  <c:v>1.9595675699999999</c:v>
                </c:pt>
                <c:pt idx="361">
                  <c:v>1.96414822</c:v>
                </c:pt>
                <c:pt idx="362">
                  <c:v>1.7008292700000001</c:v>
                </c:pt>
                <c:pt idx="363">
                  <c:v>1.69563749</c:v>
                </c:pt>
                <c:pt idx="364">
                  <c:v>1.2802214000000001</c:v>
                </c:pt>
                <c:pt idx="365">
                  <c:v>1.2878544999999999</c:v>
                </c:pt>
                <c:pt idx="366">
                  <c:v>1.8453386599999999</c:v>
                </c:pt>
                <c:pt idx="367">
                  <c:v>1.86581223</c:v>
                </c:pt>
                <c:pt idx="368">
                  <c:v>2.6298426300000002</c:v>
                </c:pt>
                <c:pt idx="369">
                  <c:v>2.7377128399999999</c:v>
                </c:pt>
                <c:pt idx="370">
                  <c:v>1.9775021800000001</c:v>
                </c:pt>
                <c:pt idx="371">
                  <c:v>2.0212073099999999</c:v>
                </c:pt>
                <c:pt idx="372">
                  <c:v>2.6956693700000001</c:v>
                </c:pt>
                <c:pt idx="373">
                  <c:v>2.7493147800000002</c:v>
                </c:pt>
                <c:pt idx="374">
                  <c:v>2.75490192</c:v>
                </c:pt>
                <c:pt idx="375">
                  <c:v>2.8158279899999998</c:v>
                </c:pt>
                <c:pt idx="376">
                  <c:v>4.5867189499999999</c:v>
                </c:pt>
                <c:pt idx="377">
                  <c:v>4.4944008899999996</c:v>
                </c:pt>
                <c:pt idx="378">
                  <c:v>4.3328877700000001</c:v>
                </c:pt>
                <c:pt idx="379">
                  <c:v>4.54493204</c:v>
                </c:pt>
                <c:pt idx="380">
                  <c:v>4.7764641699999997</c:v>
                </c:pt>
                <c:pt idx="381">
                  <c:v>4.8366861500000002</c:v>
                </c:pt>
                <c:pt idx="382">
                  <c:v>4.3390532200000003</c:v>
                </c:pt>
                <c:pt idx="383">
                  <c:v>4.0208207600000003</c:v>
                </c:pt>
                <c:pt idx="384">
                  <c:v>0.11993151000000001</c:v>
                </c:pt>
                <c:pt idx="385">
                  <c:v>0.13764418</c:v>
                </c:pt>
                <c:pt idx="386">
                  <c:v>0.21733995</c:v>
                </c:pt>
                <c:pt idx="387">
                  <c:v>0.20806864</c:v>
                </c:pt>
                <c:pt idx="388">
                  <c:v>0.14671735999999999</c:v>
                </c:pt>
                <c:pt idx="389">
                  <c:v>0.14947721</c:v>
                </c:pt>
                <c:pt idx="390">
                  <c:v>0.21904219999999999</c:v>
                </c:pt>
                <c:pt idx="391">
                  <c:v>0.2188706</c:v>
                </c:pt>
                <c:pt idx="392">
                  <c:v>0.31244218000000001</c:v>
                </c:pt>
                <c:pt idx="393">
                  <c:v>0.30668637999999998</c:v>
                </c:pt>
                <c:pt idx="394">
                  <c:v>0.34406788999999999</c:v>
                </c:pt>
                <c:pt idx="395">
                  <c:v>0.35326556999999997</c:v>
                </c:pt>
                <c:pt idx="396">
                  <c:v>0.40543804999999999</c:v>
                </c:pt>
                <c:pt idx="397">
                  <c:v>0.41458355000000002</c:v>
                </c:pt>
                <c:pt idx="398">
                  <c:v>0.43163992000000001</c:v>
                </c:pt>
                <c:pt idx="399">
                  <c:v>0.41486294000000001</c:v>
                </c:pt>
                <c:pt idx="400">
                  <c:v>0.52955984</c:v>
                </c:pt>
                <c:pt idx="401">
                  <c:v>0.53422460999999999</c:v>
                </c:pt>
                <c:pt idx="402">
                  <c:v>0.51486054999999997</c:v>
                </c:pt>
                <c:pt idx="403">
                  <c:v>0.50592448000000001</c:v>
                </c:pt>
                <c:pt idx="404">
                  <c:v>0.52418998000000006</c:v>
                </c:pt>
                <c:pt idx="405">
                  <c:v>0.51573875000000002</c:v>
                </c:pt>
                <c:pt idx="406">
                  <c:v>0.57051222000000001</c:v>
                </c:pt>
                <c:pt idx="407">
                  <c:v>0.59545820000000005</c:v>
                </c:pt>
                <c:pt idx="408">
                  <c:v>3.4520129499999999</c:v>
                </c:pt>
                <c:pt idx="409">
                  <c:v>3.4085418600000001</c:v>
                </c:pt>
                <c:pt idx="410">
                  <c:v>2.8125477999999999</c:v>
                </c:pt>
                <c:pt idx="411">
                  <c:v>2.87031985</c:v>
                </c:pt>
                <c:pt idx="412">
                  <c:v>2.6885168500000001</c:v>
                </c:pt>
                <c:pt idx="413">
                  <c:v>2.5820248700000001</c:v>
                </c:pt>
                <c:pt idx="414">
                  <c:v>2.4980515200000002</c:v>
                </c:pt>
                <c:pt idx="415">
                  <c:v>2.5026260800000002</c:v>
                </c:pt>
                <c:pt idx="416">
                  <c:v>2.1663974399999999</c:v>
                </c:pt>
                <c:pt idx="417">
                  <c:v>2.1234088600000001</c:v>
                </c:pt>
                <c:pt idx="418">
                  <c:v>1.81415097</c:v>
                </c:pt>
                <c:pt idx="419">
                  <c:v>1.7528099699999999</c:v>
                </c:pt>
                <c:pt idx="420">
                  <c:v>1.40825526</c:v>
                </c:pt>
                <c:pt idx="421">
                  <c:v>1.4069266899999999</c:v>
                </c:pt>
                <c:pt idx="422">
                  <c:v>1.4231944000000001</c:v>
                </c:pt>
                <c:pt idx="423">
                  <c:v>1.42920717</c:v>
                </c:pt>
                <c:pt idx="424">
                  <c:v>1.03037343</c:v>
                </c:pt>
                <c:pt idx="425">
                  <c:v>1.01839733</c:v>
                </c:pt>
                <c:pt idx="426">
                  <c:v>1.0274880500000001</c:v>
                </c:pt>
                <c:pt idx="427">
                  <c:v>1.02382369</c:v>
                </c:pt>
                <c:pt idx="428">
                  <c:v>0.92695903999999996</c:v>
                </c:pt>
                <c:pt idx="429">
                  <c:v>0.94816820000000002</c:v>
                </c:pt>
                <c:pt idx="430">
                  <c:v>1.0182359599999999</c:v>
                </c:pt>
                <c:pt idx="431">
                  <c:v>1.02329015</c:v>
                </c:pt>
                <c:pt idx="432">
                  <c:v>1.14818318</c:v>
                </c:pt>
                <c:pt idx="433">
                  <c:v>1.1524387899999999</c:v>
                </c:pt>
                <c:pt idx="434">
                  <c:v>1.1476512699999999</c:v>
                </c:pt>
                <c:pt idx="435">
                  <c:v>1.16468653</c:v>
                </c:pt>
                <c:pt idx="436">
                  <c:v>1.03289988</c:v>
                </c:pt>
                <c:pt idx="437">
                  <c:v>1.0368829399999999</c:v>
                </c:pt>
                <c:pt idx="438">
                  <c:v>1.0207535700000001</c:v>
                </c:pt>
                <c:pt idx="439">
                  <c:v>0.98240905999999995</c:v>
                </c:pt>
                <c:pt idx="440">
                  <c:v>1.86159063</c:v>
                </c:pt>
                <c:pt idx="441">
                  <c:v>1.8394980400000001</c:v>
                </c:pt>
                <c:pt idx="442">
                  <c:v>1.73518018</c:v>
                </c:pt>
                <c:pt idx="443">
                  <c:v>1.7494751500000001</c:v>
                </c:pt>
                <c:pt idx="444">
                  <c:v>2.30899645</c:v>
                </c:pt>
                <c:pt idx="445">
                  <c:v>2.31453876</c:v>
                </c:pt>
                <c:pt idx="446">
                  <c:v>1.9932797</c:v>
                </c:pt>
                <c:pt idx="447">
                  <c:v>2.0058813099999999</c:v>
                </c:pt>
                <c:pt idx="448">
                  <c:v>1.54091161</c:v>
                </c:pt>
                <c:pt idx="449">
                  <c:v>1.4903985799999999</c:v>
                </c:pt>
                <c:pt idx="450">
                  <c:v>1.4995913400000001</c:v>
                </c:pt>
                <c:pt idx="451">
                  <c:v>1.4151987800000001</c:v>
                </c:pt>
                <c:pt idx="452">
                  <c:v>2.1979685500000001</c:v>
                </c:pt>
                <c:pt idx="453">
                  <c:v>2.0086009100000002</c:v>
                </c:pt>
                <c:pt idx="454">
                  <c:v>1.43103694</c:v>
                </c:pt>
                <c:pt idx="455">
                  <c:v>1.36796049</c:v>
                </c:pt>
                <c:pt idx="456">
                  <c:v>2.04270482</c:v>
                </c:pt>
                <c:pt idx="457">
                  <c:v>2.0289177299999999</c:v>
                </c:pt>
                <c:pt idx="458">
                  <c:v>1.7114288200000001</c:v>
                </c:pt>
                <c:pt idx="459">
                  <c:v>1.7075427999999999</c:v>
                </c:pt>
                <c:pt idx="460">
                  <c:v>3.31162636</c:v>
                </c:pt>
                <c:pt idx="461">
                  <c:v>3.3536782199999999</c:v>
                </c:pt>
                <c:pt idx="462">
                  <c:v>2.7905419500000002</c:v>
                </c:pt>
                <c:pt idx="463">
                  <c:v>2.7874853700000002</c:v>
                </c:pt>
                <c:pt idx="464">
                  <c:v>3.1410536499999999</c:v>
                </c:pt>
                <c:pt idx="465">
                  <c:v>3.0628578200000001</c:v>
                </c:pt>
                <c:pt idx="466">
                  <c:v>2.9265999699999998</c:v>
                </c:pt>
                <c:pt idx="467">
                  <c:v>2.9845870799999998</c:v>
                </c:pt>
                <c:pt idx="468">
                  <c:v>3.7160536199999998</c:v>
                </c:pt>
                <c:pt idx="469">
                  <c:v>3.7427085500000001</c:v>
                </c:pt>
                <c:pt idx="470">
                  <c:v>3.76724704</c:v>
                </c:pt>
                <c:pt idx="471">
                  <c:v>3.767353</c:v>
                </c:pt>
                <c:pt idx="472">
                  <c:v>3.4294889199999998</c:v>
                </c:pt>
                <c:pt idx="473">
                  <c:v>3.4842893099999999</c:v>
                </c:pt>
                <c:pt idx="474">
                  <c:v>2.9657334899999999</c:v>
                </c:pt>
                <c:pt idx="475">
                  <c:v>3.0489195200000001</c:v>
                </c:pt>
                <c:pt idx="476">
                  <c:v>2.2420418899999999</c:v>
                </c:pt>
                <c:pt idx="477">
                  <c:v>2.57990662</c:v>
                </c:pt>
                <c:pt idx="478">
                  <c:v>2.5570162500000002</c:v>
                </c:pt>
                <c:pt idx="479">
                  <c:v>2.4592725500000001</c:v>
                </c:pt>
                <c:pt idx="480">
                  <c:v>0.74061549000000004</c:v>
                </c:pt>
                <c:pt idx="481">
                  <c:v>0.75273880000000004</c:v>
                </c:pt>
                <c:pt idx="482">
                  <c:v>0.76102389000000004</c:v>
                </c:pt>
                <c:pt idx="483">
                  <c:v>0.75819059</c:v>
                </c:pt>
                <c:pt idx="484">
                  <c:v>0.39705362</c:v>
                </c:pt>
                <c:pt idx="485">
                  <c:v>0.50949712999999996</c:v>
                </c:pt>
                <c:pt idx="486">
                  <c:v>0.38490137000000002</c:v>
                </c:pt>
                <c:pt idx="487">
                  <c:v>0.38336661</c:v>
                </c:pt>
                <c:pt idx="488">
                  <c:v>0.47316154999999999</c:v>
                </c:pt>
                <c:pt idx="489">
                  <c:v>0.43378831000000001</c:v>
                </c:pt>
                <c:pt idx="490">
                  <c:v>0.42358970000000001</c:v>
                </c:pt>
                <c:pt idx="491">
                  <c:v>0.44814714</c:v>
                </c:pt>
                <c:pt idx="492">
                  <c:v>0.78112406000000001</c:v>
                </c:pt>
                <c:pt idx="493">
                  <c:v>0.77756276000000002</c:v>
                </c:pt>
                <c:pt idx="494">
                  <c:v>0.82590618000000005</c:v>
                </c:pt>
                <c:pt idx="495">
                  <c:v>0.83002783000000002</c:v>
                </c:pt>
                <c:pt idx="496">
                  <c:v>0.77609795999999998</c:v>
                </c:pt>
                <c:pt idx="497">
                  <c:v>0.81517673999999996</c:v>
                </c:pt>
                <c:pt idx="498">
                  <c:v>0.77110491000000003</c:v>
                </c:pt>
                <c:pt idx="499">
                  <c:v>0.77327588999999997</c:v>
                </c:pt>
                <c:pt idx="500">
                  <c:v>0.67336682999999997</c:v>
                </c:pt>
                <c:pt idx="501">
                  <c:v>0.70532837999999998</c:v>
                </c:pt>
                <c:pt idx="502">
                  <c:v>0.42152004999999998</c:v>
                </c:pt>
                <c:pt idx="503">
                  <c:v>0.42339139999999997</c:v>
                </c:pt>
                <c:pt idx="504">
                  <c:v>0.77180473000000005</c:v>
                </c:pt>
                <c:pt idx="505">
                  <c:v>0.78250249000000005</c:v>
                </c:pt>
                <c:pt idx="506">
                  <c:v>0.64366102000000003</c:v>
                </c:pt>
                <c:pt idx="507">
                  <c:v>0.62914479000000001</c:v>
                </c:pt>
                <c:pt idx="508">
                  <c:v>0.64998226000000003</c:v>
                </c:pt>
                <c:pt idx="509">
                  <c:v>0.64629751999999996</c:v>
                </c:pt>
                <c:pt idx="510">
                  <c:v>0.62257487</c:v>
                </c:pt>
                <c:pt idx="511">
                  <c:v>0.61511448999999996</c:v>
                </c:pt>
                <c:pt idx="512">
                  <c:v>0.41113140999999997</c:v>
                </c:pt>
                <c:pt idx="513">
                  <c:v>0.41761333</c:v>
                </c:pt>
                <c:pt idx="514">
                  <c:v>0.39810772</c:v>
                </c:pt>
                <c:pt idx="515">
                  <c:v>0.38814936999999999</c:v>
                </c:pt>
                <c:pt idx="516">
                  <c:v>0.88152008999999998</c:v>
                </c:pt>
                <c:pt idx="517">
                  <c:v>0.85426181999999995</c:v>
                </c:pt>
                <c:pt idx="518">
                  <c:v>0.42502235999999999</c:v>
                </c:pt>
                <c:pt idx="519">
                  <c:v>0.41483878000000002</c:v>
                </c:pt>
                <c:pt idx="520">
                  <c:v>0.80110060000000005</c:v>
                </c:pt>
                <c:pt idx="521">
                  <c:v>0.78846484999999999</c:v>
                </c:pt>
                <c:pt idx="522">
                  <c:v>0.76399393999999998</c:v>
                </c:pt>
                <c:pt idx="523">
                  <c:v>0.76192157999999999</c:v>
                </c:pt>
                <c:pt idx="524">
                  <c:v>0.78765689999999999</c:v>
                </c:pt>
                <c:pt idx="525">
                  <c:v>0.76964012999999998</c:v>
                </c:pt>
                <c:pt idx="526">
                  <c:v>0.71579106999999997</c:v>
                </c:pt>
                <c:pt idx="527">
                  <c:v>0.70966620999999996</c:v>
                </c:pt>
                <c:pt idx="528">
                  <c:v>1.1506428</c:v>
                </c:pt>
                <c:pt idx="529">
                  <c:v>1.14830086</c:v>
                </c:pt>
                <c:pt idx="530">
                  <c:v>1.33514939</c:v>
                </c:pt>
                <c:pt idx="531">
                  <c:v>1.34720006</c:v>
                </c:pt>
                <c:pt idx="532">
                  <c:v>1.17389644</c:v>
                </c:pt>
                <c:pt idx="533">
                  <c:v>1.1955163900000001</c:v>
                </c:pt>
                <c:pt idx="534">
                  <c:v>1.1783321600000001</c:v>
                </c:pt>
                <c:pt idx="535">
                  <c:v>1.2003648</c:v>
                </c:pt>
                <c:pt idx="536">
                  <c:v>1.1040441000000001</c:v>
                </c:pt>
                <c:pt idx="537">
                  <c:v>1.09783086</c:v>
                </c:pt>
                <c:pt idx="538">
                  <c:v>1.3368287400000001</c:v>
                </c:pt>
                <c:pt idx="539">
                  <c:v>1.2953130100000001</c:v>
                </c:pt>
                <c:pt idx="540">
                  <c:v>1.25442915</c:v>
                </c:pt>
                <c:pt idx="541">
                  <c:v>1.3103513499999999</c:v>
                </c:pt>
                <c:pt idx="542">
                  <c:v>1.39587503</c:v>
                </c:pt>
                <c:pt idx="543">
                  <c:v>1.4014767699999999</c:v>
                </c:pt>
                <c:pt idx="544">
                  <c:v>1.17006382</c:v>
                </c:pt>
                <c:pt idx="545">
                  <c:v>1.2704298700000001</c:v>
                </c:pt>
                <c:pt idx="546">
                  <c:v>1.0931993</c:v>
                </c:pt>
                <c:pt idx="547">
                  <c:v>1.07964956</c:v>
                </c:pt>
                <c:pt idx="548">
                  <c:v>1.17318083</c:v>
                </c:pt>
                <c:pt idx="549">
                  <c:v>1.1458152399999999</c:v>
                </c:pt>
                <c:pt idx="550">
                  <c:v>1.3381073999999999</c:v>
                </c:pt>
                <c:pt idx="551">
                  <c:v>1.3122832900000001</c:v>
                </c:pt>
                <c:pt idx="552">
                  <c:v>1.64685105</c:v>
                </c:pt>
                <c:pt idx="553">
                  <c:v>1.6341218799999999</c:v>
                </c:pt>
                <c:pt idx="554">
                  <c:v>1.60671812</c:v>
                </c:pt>
                <c:pt idx="555">
                  <c:v>1.62905217</c:v>
                </c:pt>
                <c:pt idx="556">
                  <c:v>2.11974274</c:v>
                </c:pt>
                <c:pt idx="557">
                  <c:v>2.1653666399999998</c:v>
                </c:pt>
                <c:pt idx="558">
                  <c:v>2.3820125299999999</c:v>
                </c:pt>
                <c:pt idx="559">
                  <c:v>2.4023368600000001</c:v>
                </c:pt>
                <c:pt idx="560">
                  <c:v>1.92706065</c:v>
                </c:pt>
                <c:pt idx="561">
                  <c:v>1.9768215499999999</c:v>
                </c:pt>
                <c:pt idx="562">
                  <c:v>1.9933598299999999</c:v>
                </c:pt>
                <c:pt idx="563">
                  <c:v>2.0045948600000001</c:v>
                </c:pt>
                <c:pt idx="564">
                  <c:v>2.9286932700000001</c:v>
                </c:pt>
                <c:pt idx="565">
                  <c:v>3.0341728200000002</c:v>
                </c:pt>
                <c:pt idx="566">
                  <c:v>3.0186909200000001</c:v>
                </c:pt>
                <c:pt idx="567">
                  <c:v>2.9225578799999998</c:v>
                </c:pt>
                <c:pt idx="568">
                  <c:v>2.1983545200000001</c:v>
                </c:pt>
                <c:pt idx="569">
                  <c:v>2.2394124299999998</c:v>
                </c:pt>
                <c:pt idx="570">
                  <c:v>2.1405502699999999</c:v>
                </c:pt>
                <c:pt idx="571">
                  <c:v>2.1519864499999999</c:v>
                </c:pt>
                <c:pt idx="572">
                  <c:v>2.0317220100000002</c:v>
                </c:pt>
                <c:pt idx="573">
                  <c:v>2.0797692099999998</c:v>
                </c:pt>
                <c:pt idx="574">
                  <c:v>2.03349264</c:v>
                </c:pt>
                <c:pt idx="575">
                  <c:v>2.08276086</c:v>
                </c:pt>
                <c:pt idx="576">
                  <c:v>0.50965948000000005</c:v>
                </c:pt>
                <c:pt idx="577">
                  <c:v>0.49849031999999999</c:v>
                </c:pt>
                <c:pt idx="578">
                  <c:v>0.90246075000000003</c:v>
                </c:pt>
                <c:pt idx="579">
                  <c:v>0.91188298000000001</c:v>
                </c:pt>
                <c:pt idx="580">
                  <c:v>0.60156549000000004</c:v>
                </c:pt>
                <c:pt idx="581">
                  <c:v>0.60819922000000004</c:v>
                </c:pt>
                <c:pt idx="582">
                  <c:v>0.70919595000000002</c:v>
                </c:pt>
                <c:pt idx="583">
                  <c:v>0.70828871000000004</c:v>
                </c:pt>
                <c:pt idx="584">
                  <c:v>0.42105610999999998</c:v>
                </c:pt>
                <c:pt idx="585">
                  <c:v>0.42874880999999998</c:v>
                </c:pt>
                <c:pt idx="586">
                  <c:v>0.56922022999999999</c:v>
                </c:pt>
                <c:pt idx="587">
                  <c:v>0.57234843999999996</c:v>
                </c:pt>
                <c:pt idx="588">
                  <c:v>0.46226802</c:v>
                </c:pt>
                <c:pt idx="589">
                  <c:v>0.46289243000000002</c:v>
                </c:pt>
                <c:pt idx="590">
                  <c:v>0.45558535999999999</c:v>
                </c:pt>
                <c:pt idx="591">
                  <c:v>0.46214143000000002</c:v>
                </c:pt>
                <c:pt idx="592">
                  <c:v>0.43835000000000002</c:v>
                </c:pt>
                <c:pt idx="593">
                  <c:v>0.43235158000000001</c:v>
                </c:pt>
                <c:pt idx="594">
                  <c:v>0.36497598999999997</c:v>
                </c:pt>
                <c:pt idx="595">
                  <c:v>0.36770477000000001</c:v>
                </c:pt>
                <c:pt idx="596">
                  <c:v>0.46545445000000002</c:v>
                </c:pt>
                <c:pt idx="597">
                  <c:v>0.45132391999999999</c:v>
                </c:pt>
                <c:pt idx="598">
                  <c:v>0.34295171000000002</c:v>
                </c:pt>
                <c:pt idx="599">
                  <c:v>0.35314942999999999</c:v>
                </c:pt>
                <c:pt idx="600">
                  <c:v>1.3938718299999999</c:v>
                </c:pt>
                <c:pt idx="601">
                  <c:v>1.3684116399999999</c:v>
                </c:pt>
                <c:pt idx="602">
                  <c:v>1.29836039</c:v>
                </c:pt>
                <c:pt idx="603">
                  <c:v>1.2723913499999999</c:v>
                </c:pt>
                <c:pt idx="604">
                  <c:v>0.76671655999999999</c:v>
                </c:pt>
                <c:pt idx="605">
                  <c:v>0.75409839000000001</c:v>
                </c:pt>
                <c:pt idx="606">
                  <c:v>1.00421943</c:v>
                </c:pt>
                <c:pt idx="607">
                  <c:v>0.97975442000000001</c:v>
                </c:pt>
                <c:pt idx="608">
                  <c:v>0.50173427999999998</c:v>
                </c:pt>
                <c:pt idx="609">
                  <c:v>0.49225006999999998</c:v>
                </c:pt>
                <c:pt idx="610">
                  <c:v>0.52022621999999996</c:v>
                </c:pt>
                <c:pt idx="611">
                  <c:v>0.50460391999999998</c:v>
                </c:pt>
                <c:pt idx="612">
                  <c:v>0.62199404000000003</c:v>
                </c:pt>
                <c:pt idx="613">
                  <c:v>0.63994914999999997</c:v>
                </c:pt>
                <c:pt idx="614">
                  <c:v>0.70659039999999995</c:v>
                </c:pt>
                <c:pt idx="615">
                  <c:v>0.69501674999999996</c:v>
                </c:pt>
                <c:pt idx="616">
                  <c:v>0.75522511999999997</c:v>
                </c:pt>
                <c:pt idx="617">
                  <c:v>0.74531183999999995</c:v>
                </c:pt>
                <c:pt idx="618">
                  <c:v>0.72669887</c:v>
                </c:pt>
                <c:pt idx="619">
                  <c:v>0.75113638000000005</c:v>
                </c:pt>
                <c:pt idx="620">
                  <c:v>1.56804652</c:v>
                </c:pt>
                <c:pt idx="621">
                  <c:v>1.5527847100000001</c:v>
                </c:pt>
                <c:pt idx="622">
                  <c:v>1.38230352</c:v>
                </c:pt>
                <c:pt idx="623">
                  <c:v>1.3846227499999999</c:v>
                </c:pt>
                <c:pt idx="624">
                  <c:v>1.4448710199999999</c:v>
                </c:pt>
                <c:pt idx="625">
                  <c:v>1.45629487</c:v>
                </c:pt>
                <c:pt idx="626">
                  <c:v>1.3851667999999999</c:v>
                </c:pt>
                <c:pt idx="627">
                  <c:v>1.3148917899999999</c:v>
                </c:pt>
                <c:pt idx="628">
                  <c:v>0.94278770999999995</c:v>
                </c:pt>
                <c:pt idx="629">
                  <c:v>0.92501321000000003</c:v>
                </c:pt>
                <c:pt idx="630">
                  <c:v>1.07517095</c:v>
                </c:pt>
                <c:pt idx="631">
                  <c:v>1.0607877400000001</c:v>
                </c:pt>
                <c:pt idx="632">
                  <c:v>0.75114749999999997</c:v>
                </c:pt>
                <c:pt idx="633">
                  <c:v>0.75786754999999995</c:v>
                </c:pt>
                <c:pt idx="634">
                  <c:v>0.86110494999999998</c:v>
                </c:pt>
                <c:pt idx="635">
                  <c:v>0.86169030999999996</c:v>
                </c:pt>
                <c:pt idx="636">
                  <c:v>1.03574243</c:v>
                </c:pt>
                <c:pt idx="637">
                  <c:v>1.05574367</c:v>
                </c:pt>
                <c:pt idx="638">
                  <c:v>1.1721501700000001</c:v>
                </c:pt>
                <c:pt idx="639">
                  <c:v>1.1209588500000001</c:v>
                </c:pt>
                <c:pt idx="640">
                  <c:v>2.5546295799999998</c:v>
                </c:pt>
                <c:pt idx="641">
                  <c:v>2.5611533999999998</c:v>
                </c:pt>
                <c:pt idx="642">
                  <c:v>1.8759958299999999</c:v>
                </c:pt>
                <c:pt idx="643">
                  <c:v>1.90022113</c:v>
                </c:pt>
                <c:pt idx="644">
                  <c:v>1.2432987900000001</c:v>
                </c:pt>
                <c:pt idx="645">
                  <c:v>1.33734559</c:v>
                </c:pt>
                <c:pt idx="646">
                  <c:v>1.3621220000000001</c:v>
                </c:pt>
                <c:pt idx="647">
                  <c:v>2.0215348999999998</c:v>
                </c:pt>
                <c:pt idx="648">
                  <c:v>2.2021387699999999</c:v>
                </c:pt>
                <c:pt idx="649">
                  <c:v>2.1985980899999999</c:v>
                </c:pt>
                <c:pt idx="650">
                  <c:v>1.7758942600000001</c:v>
                </c:pt>
                <c:pt idx="651">
                  <c:v>1.7576376</c:v>
                </c:pt>
                <c:pt idx="652">
                  <c:v>2.7496973699999998</c:v>
                </c:pt>
                <c:pt idx="653">
                  <c:v>2.7614359199999998</c:v>
                </c:pt>
                <c:pt idx="654">
                  <c:v>3.5864432900000001</c:v>
                </c:pt>
                <c:pt idx="655">
                  <c:v>2.9012603800000001</c:v>
                </c:pt>
                <c:pt idx="656">
                  <c:v>3.78630822</c:v>
                </c:pt>
                <c:pt idx="657">
                  <c:v>3.9877672199999998</c:v>
                </c:pt>
                <c:pt idx="658">
                  <c:v>3.2317113700000002</c:v>
                </c:pt>
                <c:pt idx="659">
                  <c:v>3.1207248000000001</c:v>
                </c:pt>
                <c:pt idx="660">
                  <c:v>4.6578680800000001</c:v>
                </c:pt>
                <c:pt idx="661">
                  <c:v>4.7322062599999999</c:v>
                </c:pt>
                <c:pt idx="662">
                  <c:v>4.8893442599999997</c:v>
                </c:pt>
                <c:pt idx="663">
                  <c:v>5.05616837</c:v>
                </c:pt>
                <c:pt idx="664">
                  <c:v>5.3392278099999997</c:v>
                </c:pt>
                <c:pt idx="665">
                  <c:v>5.4406896500000004</c:v>
                </c:pt>
                <c:pt idx="666">
                  <c:v>5.3045783399999999</c:v>
                </c:pt>
                <c:pt idx="667">
                  <c:v>5.3849786000000002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13.36285606</c:v>
                </c:pt>
                <c:pt idx="1">
                  <c:v>14.22804545</c:v>
                </c:pt>
                <c:pt idx="2">
                  <c:v>14.44419598</c:v>
                </c:pt>
                <c:pt idx="3">
                  <c:v>11.672970830000001</c:v>
                </c:pt>
                <c:pt idx="4">
                  <c:v>7.1731955799999998</c:v>
                </c:pt>
                <c:pt idx="5">
                  <c:v>-0.30326807</c:v>
                </c:pt>
                <c:pt idx="6">
                  <c:v>4.1244926800000004</c:v>
                </c:pt>
                <c:pt idx="7">
                  <c:v>13.97388333</c:v>
                </c:pt>
                <c:pt idx="8">
                  <c:v>7.1463194999999997</c:v>
                </c:pt>
                <c:pt idx="9">
                  <c:v>5.5933484900000003</c:v>
                </c:pt>
                <c:pt idx="10">
                  <c:v>6.8845109799999999</c:v>
                </c:pt>
                <c:pt idx="11">
                  <c:v>6.8427338600000001</c:v>
                </c:pt>
                <c:pt idx="12">
                  <c:v>4.7719754500000002</c:v>
                </c:pt>
                <c:pt idx="13">
                  <c:v>5.59767466</c:v>
                </c:pt>
                <c:pt idx="14">
                  <c:v>4.8267871400000004</c:v>
                </c:pt>
                <c:pt idx="15">
                  <c:v>4.7232335499999998</c:v>
                </c:pt>
                <c:pt idx="16">
                  <c:v>3.2755706299999998</c:v>
                </c:pt>
                <c:pt idx="17">
                  <c:v>5.7439513099999999</c:v>
                </c:pt>
                <c:pt idx="18">
                  <c:v>3.1413779100000001</c:v>
                </c:pt>
                <c:pt idx="19">
                  <c:v>1.9929160800000001</c:v>
                </c:pt>
                <c:pt idx="20">
                  <c:v>5.2702394699999999</c:v>
                </c:pt>
                <c:pt idx="21">
                  <c:v>3.8559340899999999</c:v>
                </c:pt>
                <c:pt idx="22">
                  <c:v>7.2830045800000001</c:v>
                </c:pt>
                <c:pt idx="23">
                  <c:v>5.8124095200000001</c:v>
                </c:pt>
                <c:pt idx="24">
                  <c:v>10.70570668</c:v>
                </c:pt>
                <c:pt idx="25">
                  <c:v>10.26961541</c:v>
                </c:pt>
                <c:pt idx="26">
                  <c:v>10.17594231</c:v>
                </c:pt>
                <c:pt idx="27">
                  <c:v>12.866419329999999</c:v>
                </c:pt>
                <c:pt idx="28">
                  <c:v>7.2769754899999999</c:v>
                </c:pt>
                <c:pt idx="29">
                  <c:v>12.315110990000001</c:v>
                </c:pt>
                <c:pt idx="30">
                  <c:v>11.657351090000001</c:v>
                </c:pt>
                <c:pt idx="31">
                  <c:v>9.3707986099999996</c:v>
                </c:pt>
                <c:pt idx="32">
                  <c:v>4.8578597200000004</c:v>
                </c:pt>
                <c:pt idx="33">
                  <c:v>4.4279427</c:v>
                </c:pt>
                <c:pt idx="34">
                  <c:v>6.2138987999999999</c:v>
                </c:pt>
                <c:pt idx="35">
                  <c:v>6.5777206599999998</c:v>
                </c:pt>
                <c:pt idx="36">
                  <c:v>4.6427518699999997</c:v>
                </c:pt>
                <c:pt idx="37">
                  <c:v>8.0781501099999993</c:v>
                </c:pt>
                <c:pt idx="38">
                  <c:v>8.4131382000000006</c:v>
                </c:pt>
                <c:pt idx="39">
                  <c:v>9.7140132599999998</c:v>
                </c:pt>
                <c:pt idx="40">
                  <c:v>-1.82728644</c:v>
                </c:pt>
                <c:pt idx="41">
                  <c:v>1.4730958199999999</c:v>
                </c:pt>
                <c:pt idx="42">
                  <c:v>0.71938480999999999</c:v>
                </c:pt>
                <c:pt idx="43">
                  <c:v>-1.26395601</c:v>
                </c:pt>
                <c:pt idx="44">
                  <c:v>5.5580879799999998</c:v>
                </c:pt>
                <c:pt idx="45">
                  <c:v>4.9040986499999999</c:v>
                </c:pt>
                <c:pt idx="46">
                  <c:v>3.19275975</c:v>
                </c:pt>
                <c:pt idx="47">
                  <c:v>5.3023444900000003</c:v>
                </c:pt>
                <c:pt idx="48">
                  <c:v>4.9752189299999996</c:v>
                </c:pt>
                <c:pt idx="49">
                  <c:v>6.91008757</c:v>
                </c:pt>
                <c:pt idx="50">
                  <c:v>4.4892814999999997</c:v>
                </c:pt>
                <c:pt idx="51">
                  <c:v>5.3003047099999998</c:v>
                </c:pt>
                <c:pt idx="52">
                  <c:v>7.4995188600000002</c:v>
                </c:pt>
                <c:pt idx="53">
                  <c:v>8.8140631999999997</c:v>
                </c:pt>
                <c:pt idx="54">
                  <c:v>6.3873121800000003</c:v>
                </c:pt>
                <c:pt idx="55">
                  <c:v>5.3400093000000002</c:v>
                </c:pt>
                <c:pt idx="56">
                  <c:v>8.5648747800000002</c:v>
                </c:pt>
                <c:pt idx="57">
                  <c:v>2.63176253</c:v>
                </c:pt>
                <c:pt idx="58">
                  <c:v>3.7217185399999999</c:v>
                </c:pt>
                <c:pt idx="59">
                  <c:v>3.08206487</c:v>
                </c:pt>
                <c:pt idx="60">
                  <c:v>7.41658946</c:v>
                </c:pt>
                <c:pt idx="61">
                  <c:v>5.4863321599999999</c:v>
                </c:pt>
                <c:pt idx="62">
                  <c:v>4.5388059099999998</c:v>
                </c:pt>
                <c:pt idx="63">
                  <c:v>9.7948394099999998</c:v>
                </c:pt>
                <c:pt idx="64">
                  <c:v>8.9387040899999999</c:v>
                </c:pt>
                <c:pt idx="65">
                  <c:v>7.9584105899999997</c:v>
                </c:pt>
                <c:pt idx="66">
                  <c:v>6.3103351500000002</c:v>
                </c:pt>
                <c:pt idx="67">
                  <c:v>6.0910829199999998</c:v>
                </c:pt>
                <c:pt idx="68">
                  <c:v>28.64173504</c:v>
                </c:pt>
                <c:pt idx="69">
                  <c:v>6.8203490599999999</c:v>
                </c:pt>
                <c:pt idx="70">
                  <c:v>8.2043426499999992</c:v>
                </c:pt>
                <c:pt idx="71">
                  <c:v>4.58499722</c:v>
                </c:pt>
                <c:pt idx="72">
                  <c:v>14.24087769</c:v>
                </c:pt>
                <c:pt idx="73">
                  <c:v>16.94079503</c:v>
                </c:pt>
                <c:pt idx="74">
                  <c:v>10.88498532</c:v>
                </c:pt>
                <c:pt idx="75">
                  <c:v>8.6402289299999993</c:v>
                </c:pt>
                <c:pt idx="76">
                  <c:v>18.387340340000002</c:v>
                </c:pt>
                <c:pt idx="77">
                  <c:v>12.7725822</c:v>
                </c:pt>
                <c:pt idx="78">
                  <c:v>9.7124200199999997</c:v>
                </c:pt>
                <c:pt idx="79">
                  <c:v>5.3692739300000003</c:v>
                </c:pt>
                <c:pt idx="80">
                  <c:v>12.194766469999999</c:v>
                </c:pt>
                <c:pt idx="81">
                  <c:v>17.115559739999998</c:v>
                </c:pt>
                <c:pt idx="82">
                  <c:v>12.07439332</c:v>
                </c:pt>
                <c:pt idx="83">
                  <c:v>8.82946806</c:v>
                </c:pt>
                <c:pt idx="84">
                  <c:v>11.32801589</c:v>
                </c:pt>
                <c:pt idx="85">
                  <c:v>10.653743779999999</c:v>
                </c:pt>
                <c:pt idx="86">
                  <c:v>7.77554035</c:v>
                </c:pt>
                <c:pt idx="87">
                  <c:v>6.1892920299999998</c:v>
                </c:pt>
                <c:pt idx="88">
                  <c:v>6.7591256399999997</c:v>
                </c:pt>
                <c:pt idx="89">
                  <c:v>7.5789399900000003</c:v>
                </c:pt>
                <c:pt idx="90">
                  <c:v>5.9101822999999998</c:v>
                </c:pt>
                <c:pt idx="91">
                  <c:v>5.5947060100000003</c:v>
                </c:pt>
                <c:pt idx="92">
                  <c:v>8.0214110600000001</c:v>
                </c:pt>
                <c:pt idx="93">
                  <c:v>4.8494059199999997</c:v>
                </c:pt>
                <c:pt idx="94">
                  <c:v>2.1679319700000002</c:v>
                </c:pt>
                <c:pt idx="95">
                  <c:v>3.0931300500000001</c:v>
                </c:pt>
                <c:pt idx="96">
                  <c:v>22.576882699999999</c:v>
                </c:pt>
                <c:pt idx="97">
                  <c:v>18.370433380000001</c:v>
                </c:pt>
                <c:pt idx="98">
                  <c:v>19.355553709999999</c:v>
                </c:pt>
                <c:pt idx="99">
                  <c:v>9.7870582600000002</c:v>
                </c:pt>
                <c:pt idx="100">
                  <c:v>10.818943709999999</c:v>
                </c:pt>
                <c:pt idx="101">
                  <c:v>9.1414012299999996</c:v>
                </c:pt>
                <c:pt idx="102">
                  <c:v>9.31976184</c:v>
                </c:pt>
                <c:pt idx="103">
                  <c:v>12.63215351</c:v>
                </c:pt>
                <c:pt idx="104">
                  <c:v>9.3930566300000002</c:v>
                </c:pt>
                <c:pt idx="105">
                  <c:v>-1.3503083899999999</c:v>
                </c:pt>
                <c:pt idx="106">
                  <c:v>7.8585735100000003</c:v>
                </c:pt>
                <c:pt idx="107">
                  <c:v>6.5488183400000004</c:v>
                </c:pt>
                <c:pt idx="108">
                  <c:v>3.7769893400000001</c:v>
                </c:pt>
                <c:pt idx="109">
                  <c:v>0.48382955999999999</c:v>
                </c:pt>
                <c:pt idx="110">
                  <c:v>3.74136113</c:v>
                </c:pt>
                <c:pt idx="111">
                  <c:v>5.7568704500000001</c:v>
                </c:pt>
                <c:pt idx="112">
                  <c:v>11.62143839</c:v>
                </c:pt>
                <c:pt idx="113">
                  <c:v>0.48485193999999998</c:v>
                </c:pt>
                <c:pt idx="114">
                  <c:v>5.5486986099999998</c:v>
                </c:pt>
                <c:pt idx="115">
                  <c:v>-2.8662082999999998</c:v>
                </c:pt>
                <c:pt idx="116">
                  <c:v>9.7771530000000002</c:v>
                </c:pt>
                <c:pt idx="117">
                  <c:v>7.6370489600000004</c:v>
                </c:pt>
                <c:pt idx="118">
                  <c:v>13.468395299999999</c:v>
                </c:pt>
                <c:pt idx="119">
                  <c:v>13.869799710000001</c:v>
                </c:pt>
                <c:pt idx="120">
                  <c:v>28.6508541</c:v>
                </c:pt>
                <c:pt idx="121">
                  <c:v>7.2375737899999999</c:v>
                </c:pt>
                <c:pt idx="122">
                  <c:v>10.16114147</c:v>
                </c:pt>
                <c:pt idx="123">
                  <c:v>11.647805630000001</c:v>
                </c:pt>
                <c:pt idx="124">
                  <c:v>11.65637634</c:v>
                </c:pt>
                <c:pt idx="125">
                  <c:v>9.3197368199999993</c:v>
                </c:pt>
                <c:pt idx="126">
                  <c:v>13.25414176</c:v>
                </c:pt>
                <c:pt idx="127">
                  <c:v>11.507041020000001</c:v>
                </c:pt>
                <c:pt idx="128">
                  <c:v>13.80269876</c:v>
                </c:pt>
                <c:pt idx="129">
                  <c:v>8.9763999699999992</c:v>
                </c:pt>
                <c:pt idx="130">
                  <c:v>9.0829028399999991</c:v>
                </c:pt>
                <c:pt idx="131">
                  <c:v>10.560042190000001</c:v>
                </c:pt>
                <c:pt idx="132">
                  <c:v>9.7073625099999994</c:v>
                </c:pt>
                <c:pt idx="133">
                  <c:v>9.3198740999999998</c:v>
                </c:pt>
                <c:pt idx="134">
                  <c:v>12.5595897</c:v>
                </c:pt>
                <c:pt idx="135">
                  <c:v>14.23355864</c:v>
                </c:pt>
                <c:pt idx="136">
                  <c:v>15.998183129999999</c:v>
                </c:pt>
                <c:pt idx="137">
                  <c:v>14.045239130000001</c:v>
                </c:pt>
                <c:pt idx="138">
                  <c:v>14.81085886</c:v>
                </c:pt>
                <c:pt idx="139">
                  <c:v>13.17007774</c:v>
                </c:pt>
                <c:pt idx="140">
                  <c:v>12.451715460000001</c:v>
                </c:pt>
                <c:pt idx="141">
                  <c:v>10.43564177</c:v>
                </c:pt>
                <c:pt idx="142">
                  <c:v>15.98043814</c:v>
                </c:pt>
                <c:pt idx="143">
                  <c:v>14.129480750000001</c:v>
                </c:pt>
                <c:pt idx="144">
                  <c:v>22.769774869999999</c:v>
                </c:pt>
                <c:pt idx="145">
                  <c:v>18.749997749999999</c:v>
                </c:pt>
                <c:pt idx="146">
                  <c:v>19.880818269999999</c:v>
                </c:pt>
                <c:pt idx="147">
                  <c:v>19.804494720000001</c:v>
                </c:pt>
                <c:pt idx="148">
                  <c:v>14.57657659</c:v>
                </c:pt>
                <c:pt idx="149">
                  <c:v>19.74509634</c:v>
                </c:pt>
                <c:pt idx="150">
                  <c:v>15.531920939999999</c:v>
                </c:pt>
                <c:pt idx="151">
                  <c:v>18.05578483</c:v>
                </c:pt>
                <c:pt idx="152">
                  <c:v>36.005754459999999</c:v>
                </c:pt>
                <c:pt idx="153">
                  <c:v>21.625341559999999</c:v>
                </c:pt>
                <c:pt idx="154">
                  <c:v>14.17418222</c:v>
                </c:pt>
                <c:pt idx="155">
                  <c:v>11.197812239999999</c:v>
                </c:pt>
                <c:pt idx="156">
                  <c:v>10.342613180000001</c:v>
                </c:pt>
                <c:pt idx="157">
                  <c:v>9.0910027000000007</c:v>
                </c:pt>
                <c:pt idx="158">
                  <c:v>8.2271304199999999</c:v>
                </c:pt>
                <c:pt idx="159">
                  <c:v>7.4771578200000004</c:v>
                </c:pt>
                <c:pt idx="160">
                  <c:v>15.11974719</c:v>
                </c:pt>
                <c:pt idx="161">
                  <c:v>10.852454509999999</c:v>
                </c:pt>
                <c:pt idx="162">
                  <c:v>9.7837975799999999</c:v>
                </c:pt>
                <c:pt idx="163">
                  <c:v>10.94775843</c:v>
                </c:pt>
                <c:pt idx="164">
                  <c:v>23.291125139999998</c:v>
                </c:pt>
                <c:pt idx="165">
                  <c:v>13.75496819</c:v>
                </c:pt>
                <c:pt idx="166">
                  <c:v>12.1084064</c:v>
                </c:pt>
                <c:pt idx="167">
                  <c:v>8.6013871500000008</c:v>
                </c:pt>
                <c:pt idx="168">
                  <c:v>5.1466464299999997</c:v>
                </c:pt>
                <c:pt idx="169">
                  <c:v>7.6204277899999999</c:v>
                </c:pt>
                <c:pt idx="170">
                  <c:v>7.3851463700000002</c:v>
                </c:pt>
                <c:pt idx="171">
                  <c:v>5.5369001300000003</c:v>
                </c:pt>
                <c:pt idx="172">
                  <c:v>3.8326112399999999</c:v>
                </c:pt>
                <c:pt idx="173">
                  <c:v>3.3842053399999998</c:v>
                </c:pt>
                <c:pt idx="174">
                  <c:v>4.4988019100000001</c:v>
                </c:pt>
                <c:pt idx="175">
                  <c:v>6.1829994700000004</c:v>
                </c:pt>
                <c:pt idx="176">
                  <c:v>13.30184107</c:v>
                </c:pt>
                <c:pt idx="177">
                  <c:v>16.08625245</c:v>
                </c:pt>
                <c:pt idx="178">
                  <c:v>20.832987379999999</c:v>
                </c:pt>
                <c:pt idx="179">
                  <c:v>19.731670600000001</c:v>
                </c:pt>
                <c:pt idx="180">
                  <c:v>6.8206707800000004</c:v>
                </c:pt>
                <c:pt idx="181">
                  <c:v>4.1833952600000002</c:v>
                </c:pt>
                <c:pt idx="182">
                  <c:v>6.31553772</c:v>
                </c:pt>
                <c:pt idx="183">
                  <c:v>2.9125553100000001</c:v>
                </c:pt>
                <c:pt idx="184">
                  <c:v>11.115874310000001</c:v>
                </c:pt>
                <c:pt idx="185">
                  <c:v>13.82844955</c:v>
                </c:pt>
                <c:pt idx="186">
                  <c:v>14.88163213</c:v>
                </c:pt>
                <c:pt idx="187">
                  <c:v>9.3278276699999996</c:v>
                </c:pt>
                <c:pt idx="188">
                  <c:v>5.5700409999999999E-2</c:v>
                </c:pt>
                <c:pt idx="189">
                  <c:v>2.8534918500000002</c:v>
                </c:pt>
                <c:pt idx="190">
                  <c:v>14.834278810000001</c:v>
                </c:pt>
                <c:pt idx="191">
                  <c:v>12.967907500000001</c:v>
                </c:pt>
                <c:pt idx="192">
                  <c:v>10.98030369</c:v>
                </c:pt>
                <c:pt idx="193">
                  <c:v>-2.5579261500000001</c:v>
                </c:pt>
                <c:pt idx="194">
                  <c:v>2.1714720199999999</c:v>
                </c:pt>
                <c:pt idx="195">
                  <c:v>3.2539631099999999</c:v>
                </c:pt>
                <c:pt idx="196">
                  <c:v>6.4097953600000004</c:v>
                </c:pt>
                <c:pt idx="197">
                  <c:v>1.6432239799999999</c:v>
                </c:pt>
                <c:pt idx="198">
                  <c:v>17.938158179999999</c:v>
                </c:pt>
                <c:pt idx="199">
                  <c:v>8.5781066500000005</c:v>
                </c:pt>
                <c:pt idx="200">
                  <c:v>7.5358322099999997</c:v>
                </c:pt>
                <c:pt idx="201">
                  <c:v>5.8814424499999998</c:v>
                </c:pt>
                <c:pt idx="202">
                  <c:v>1.81498414</c:v>
                </c:pt>
                <c:pt idx="203">
                  <c:v>3.2308334799999998</c:v>
                </c:pt>
                <c:pt idx="204">
                  <c:v>9.3749726399999993</c:v>
                </c:pt>
                <c:pt idx="205">
                  <c:v>5.9521925299999996</c:v>
                </c:pt>
                <c:pt idx="206">
                  <c:v>4.8659708999999998</c:v>
                </c:pt>
                <c:pt idx="207">
                  <c:v>8.2569658599999993</c:v>
                </c:pt>
                <c:pt idx="208">
                  <c:v>-0.95077009999999995</c:v>
                </c:pt>
                <c:pt idx="209">
                  <c:v>-7.1450652100000003</c:v>
                </c:pt>
                <c:pt idx="210">
                  <c:v>2.4077205899999998</c:v>
                </c:pt>
                <c:pt idx="211">
                  <c:v>2.0707083700000002</c:v>
                </c:pt>
                <c:pt idx="212">
                  <c:v>3.0084591500000002</c:v>
                </c:pt>
                <c:pt idx="213">
                  <c:v>1.2464947</c:v>
                </c:pt>
                <c:pt idx="214">
                  <c:v>3.5712617999999998</c:v>
                </c:pt>
                <c:pt idx="215">
                  <c:v>-1.6992667299999999</c:v>
                </c:pt>
                <c:pt idx="216">
                  <c:v>30.992005500000001</c:v>
                </c:pt>
                <c:pt idx="217">
                  <c:v>12.05048075</c:v>
                </c:pt>
                <c:pt idx="218">
                  <c:v>13.176790889999999</c:v>
                </c:pt>
                <c:pt idx="219">
                  <c:v>17.69013704</c:v>
                </c:pt>
                <c:pt idx="220">
                  <c:v>20.594106199999999</c:v>
                </c:pt>
                <c:pt idx="221">
                  <c:v>12.90273674</c:v>
                </c:pt>
                <c:pt idx="222">
                  <c:v>13.44968257</c:v>
                </c:pt>
                <c:pt idx="223">
                  <c:v>9.6688088499999996</c:v>
                </c:pt>
                <c:pt idx="224">
                  <c:v>9.8437249599999994</c:v>
                </c:pt>
                <c:pt idx="225">
                  <c:v>5.6220226200000001</c:v>
                </c:pt>
                <c:pt idx="226">
                  <c:v>5.6934037799999997</c:v>
                </c:pt>
                <c:pt idx="227">
                  <c:v>5.1965402200000002</c:v>
                </c:pt>
                <c:pt idx="228">
                  <c:v>1.85519418</c:v>
                </c:pt>
                <c:pt idx="229">
                  <c:v>1.2749323400000001</c:v>
                </c:pt>
                <c:pt idx="230">
                  <c:v>2.0691247800000001</c:v>
                </c:pt>
                <c:pt idx="231">
                  <c:v>2.2981269900000001</c:v>
                </c:pt>
                <c:pt idx="232">
                  <c:v>1.2721217499999999</c:v>
                </c:pt>
                <c:pt idx="233">
                  <c:v>1.7934779599999999</c:v>
                </c:pt>
                <c:pt idx="234">
                  <c:v>1.2030651000000001</c:v>
                </c:pt>
                <c:pt idx="235">
                  <c:v>1.0153281999999999</c:v>
                </c:pt>
                <c:pt idx="236">
                  <c:v>1.3785271699999999</c:v>
                </c:pt>
                <c:pt idx="237">
                  <c:v>0.93534435000000005</c:v>
                </c:pt>
                <c:pt idx="238">
                  <c:v>0.95217996999999999</c:v>
                </c:pt>
                <c:pt idx="239">
                  <c:v>0.98843665999999997</c:v>
                </c:pt>
                <c:pt idx="240">
                  <c:v>-3.4772074599999998</c:v>
                </c:pt>
                <c:pt idx="241">
                  <c:v>-2.7026552399999999</c:v>
                </c:pt>
                <c:pt idx="242">
                  <c:v>-1.3526870499999999</c:v>
                </c:pt>
                <c:pt idx="243">
                  <c:v>-0.99153332000000005</c:v>
                </c:pt>
                <c:pt idx="244">
                  <c:v>-3.47440733</c:v>
                </c:pt>
                <c:pt idx="245">
                  <c:v>-2.97983479</c:v>
                </c:pt>
                <c:pt idx="246">
                  <c:v>-2.3915643599999998</c:v>
                </c:pt>
                <c:pt idx="247">
                  <c:v>-2.9077419600000001</c:v>
                </c:pt>
                <c:pt idx="248">
                  <c:v>1.5475494000000001</c:v>
                </c:pt>
                <c:pt idx="249">
                  <c:v>-0.34541063</c:v>
                </c:pt>
                <c:pt idx="250">
                  <c:v>0.75586832000000004</c:v>
                </c:pt>
                <c:pt idx="251">
                  <c:v>0.71282314999999996</c:v>
                </c:pt>
                <c:pt idx="252">
                  <c:v>3.3708201600000001</c:v>
                </c:pt>
                <c:pt idx="253">
                  <c:v>0.69849596999999997</c:v>
                </c:pt>
                <c:pt idx="254">
                  <c:v>3.9417206199999999</c:v>
                </c:pt>
                <c:pt idx="255">
                  <c:v>2.7035767800000001</c:v>
                </c:pt>
                <c:pt idx="256">
                  <c:v>9.8920176000000009</c:v>
                </c:pt>
                <c:pt idx="257">
                  <c:v>6.7906938400000003</c:v>
                </c:pt>
                <c:pt idx="258">
                  <c:v>5.3084989599999997</c:v>
                </c:pt>
                <c:pt idx="259">
                  <c:v>2.3577961599999999</c:v>
                </c:pt>
                <c:pt idx="260">
                  <c:v>30.47367801</c:v>
                </c:pt>
                <c:pt idx="261">
                  <c:v>16.380120999999999</c:v>
                </c:pt>
                <c:pt idx="262">
                  <c:v>10.676294260000001</c:v>
                </c:pt>
                <c:pt idx="263">
                  <c:v>0.82559137999999999</c:v>
                </c:pt>
                <c:pt idx="264">
                  <c:v>4.4254139700000001</c:v>
                </c:pt>
                <c:pt idx="265">
                  <c:v>39.382831029999998</c:v>
                </c:pt>
                <c:pt idx="266">
                  <c:v>40.28802262</c:v>
                </c:pt>
                <c:pt idx="267">
                  <c:v>35.426190740000003</c:v>
                </c:pt>
                <c:pt idx="268">
                  <c:v>4.7362499099999997</c:v>
                </c:pt>
                <c:pt idx="269">
                  <c:v>2.9954537299999999</c:v>
                </c:pt>
                <c:pt idx="270">
                  <c:v>10.13735241</c:v>
                </c:pt>
                <c:pt idx="271">
                  <c:v>18.352201109999999</c:v>
                </c:pt>
                <c:pt idx="272">
                  <c:v>2.1494063200000002</c:v>
                </c:pt>
                <c:pt idx="273">
                  <c:v>-0.25829289999999999</c:v>
                </c:pt>
                <c:pt idx="274">
                  <c:v>8.2205912699999999</c:v>
                </c:pt>
                <c:pt idx="275">
                  <c:v>9.7919346100000002</c:v>
                </c:pt>
                <c:pt idx="276">
                  <c:v>4.5816749999999997</c:v>
                </c:pt>
                <c:pt idx="277">
                  <c:v>7.0879150500000003</c:v>
                </c:pt>
                <c:pt idx="278">
                  <c:v>14.35806438</c:v>
                </c:pt>
                <c:pt idx="279">
                  <c:v>14.48868687</c:v>
                </c:pt>
                <c:pt idx="280">
                  <c:v>24.134753910000001</c:v>
                </c:pt>
                <c:pt idx="281">
                  <c:v>-5.3841642099999998</c:v>
                </c:pt>
                <c:pt idx="282">
                  <c:v>13.46932728</c:v>
                </c:pt>
                <c:pt idx="283">
                  <c:v>18.812306509999999</c:v>
                </c:pt>
                <c:pt idx="284">
                  <c:v>9.3725261900000003</c:v>
                </c:pt>
                <c:pt idx="285">
                  <c:v>1.34839715</c:v>
                </c:pt>
                <c:pt idx="286">
                  <c:v>4.9408351399999999</c:v>
                </c:pt>
                <c:pt idx="287">
                  <c:v>12.061310349999999</c:v>
                </c:pt>
                <c:pt idx="288">
                  <c:v>7.8185939199999996</c:v>
                </c:pt>
                <c:pt idx="289">
                  <c:v>12.870707919999999</c:v>
                </c:pt>
                <c:pt idx="290">
                  <c:v>8.3724553499999992</c:v>
                </c:pt>
                <c:pt idx="291">
                  <c:v>6.18023714</c:v>
                </c:pt>
                <c:pt idx="292">
                  <c:v>17.311649769999999</c:v>
                </c:pt>
                <c:pt idx="293">
                  <c:v>18.682079389999998</c:v>
                </c:pt>
                <c:pt idx="294">
                  <c:v>26.5832011</c:v>
                </c:pt>
                <c:pt idx="295">
                  <c:v>15.5384039</c:v>
                </c:pt>
                <c:pt idx="296">
                  <c:v>7.5264009200000004</c:v>
                </c:pt>
                <c:pt idx="297">
                  <c:v>11.065583350000001</c:v>
                </c:pt>
                <c:pt idx="298">
                  <c:v>12.210320599999999</c:v>
                </c:pt>
                <c:pt idx="299">
                  <c:v>9.25559668</c:v>
                </c:pt>
                <c:pt idx="300">
                  <c:v>8.8245540600000005</c:v>
                </c:pt>
                <c:pt idx="301">
                  <c:v>10.411934240000001</c:v>
                </c:pt>
                <c:pt idx="302">
                  <c:v>4.2117178700000002</c:v>
                </c:pt>
                <c:pt idx="303">
                  <c:v>9.0888033799999999</c:v>
                </c:pt>
                <c:pt idx="304">
                  <c:v>10.96302706</c:v>
                </c:pt>
                <c:pt idx="305">
                  <c:v>13.653006400000001</c:v>
                </c:pt>
                <c:pt idx="306">
                  <c:v>8.7156048500000001</c:v>
                </c:pt>
                <c:pt idx="307">
                  <c:v>9.7782327000000002</c:v>
                </c:pt>
                <c:pt idx="308">
                  <c:v>16.83637689</c:v>
                </c:pt>
                <c:pt idx="309">
                  <c:v>6.3424382799999997</c:v>
                </c:pt>
                <c:pt idx="310">
                  <c:v>11.5887811</c:v>
                </c:pt>
                <c:pt idx="311">
                  <c:v>9.4299987999999999</c:v>
                </c:pt>
                <c:pt idx="312">
                  <c:v>40.643743559999997</c:v>
                </c:pt>
                <c:pt idx="313">
                  <c:v>13.62196913</c:v>
                </c:pt>
                <c:pt idx="314">
                  <c:v>11.90638626</c:v>
                </c:pt>
                <c:pt idx="315">
                  <c:v>12.972397490000001</c:v>
                </c:pt>
                <c:pt idx="316">
                  <c:v>13.303918489999999</c:v>
                </c:pt>
                <c:pt idx="317">
                  <c:v>9.3994038399999997</c:v>
                </c:pt>
                <c:pt idx="318">
                  <c:v>9.7702267200000001</c:v>
                </c:pt>
                <c:pt idx="319">
                  <c:v>13.307948509999999</c:v>
                </c:pt>
                <c:pt idx="320">
                  <c:v>10.343162510000001</c:v>
                </c:pt>
                <c:pt idx="321">
                  <c:v>12.53223273</c:v>
                </c:pt>
                <c:pt idx="322">
                  <c:v>12.400982770000001</c:v>
                </c:pt>
                <c:pt idx="323">
                  <c:v>16.425802040000001</c:v>
                </c:pt>
                <c:pt idx="324">
                  <c:v>0.27581148</c:v>
                </c:pt>
                <c:pt idx="325">
                  <c:v>13.45804564</c:v>
                </c:pt>
                <c:pt idx="326">
                  <c:v>20.541166359999998</c:v>
                </c:pt>
                <c:pt idx="327">
                  <c:v>8.6508248499999993</c:v>
                </c:pt>
                <c:pt idx="328">
                  <c:v>6.7998625800000001</c:v>
                </c:pt>
                <c:pt idx="329">
                  <c:v>14.239224800000001</c:v>
                </c:pt>
                <c:pt idx="330">
                  <c:v>12.20440728</c:v>
                </c:pt>
                <c:pt idx="331">
                  <c:v>8.1926691100000006</c:v>
                </c:pt>
                <c:pt idx="332">
                  <c:v>6.8093423900000003</c:v>
                </c:pt>
                <c:pt idx="333">
                  <c:v>10.335889529999999</c:v>
                </c:pt>
                <c:pt idx="334">
                  <c:v>2.46470118</c:v>
                </c:pt>
                <c:pt idx="335">
                  <c:v>1.8606595800000001</c:v>
                </c:pt>
                <c:pt idx="336">
                  <c:v>0.54154314999999997</c:v>
                </c:pt>
                <c:pt idx="337">
                  <c:v>0.73078191999999997</c:v>
                </c:pt>
                <c:pt idx="338">
                  <c:v>2.0046576699999998</c:v>
                </c:pt>
                <c:pt idx="339">
                  <c:v>0.67670582000000001</c:v>
                </c:pt>
                <c:pt idx="340">
                  <c:v>6.2898836400000002</c:v>
                </c:pt>
                <c:pt idx="341">
                  <c:v>3.9362933199999999</c:v>
                </c:pt>
                <c:pt idx="342">
                  <c:v>0.63937283</c:v>
                </c:pt>
                <c:pt idx="343">
                  <c:v>0.84255815999999994</c:v>
                </c:pt>
                <c:pt idx="344">
                  <c:v>2.07501427</c:v>
                </c:pt>
                <c:pt idx="345">
                  <c:v>3.3309312000000002</c:v>
                </c:pt>
                <c:pt idx="346">
                  <c:v>7.1135399100000001</c:v>
                </c:pt>
                <c:pt idx="347">
                  <c:v>3.9385527200000001</c:v>
                </c:pt>
                <c:pt idx="348">
                  <c:v>3.5236928000000001</c:v>
                </c:pt>
                <c:pt idx="349">
                  <c:v>4.2907884100000002</c:v>
                </c:pt>
                <c:pt idx="350">
                  <c:v>4.4710862000000002</c:v>
                </c:pt>
                <c:pt idx="351">
                  <c:v>12.5589917</c:v>
                </c:pt>
                <c:pt idx="352">
                  <c:v>38.821123049999997</c:v>
                </c:pt>
                <c:pt idx="353">
                  <c:v>14.71777522</c:v>
                </c:pt>
                <c:pt idx="354">
                  <c:v>11.05106404</c:v>
                </c:pt>
                <c:pt idx="355">
                  <c:v>10.98484577</c:v>
                </c:pt>
                <c:pt idx="356">
                  <c:v>16.378887450000001</c:v>
                </c:pt>
                <c:pt idx="357">
                  <c:v>6.4273219399999997</c:v>
                </c:pt>
                <c:pt idx="358">
                  <c:v>6.6089287299999997</c:v>
                </c:pt>
                <c:pt idx="359">
                  <c:v>3.2121726100000001</c:v>
                </c:pt>
                <c:pt idx="360">
                  <c:v>15.207518779999999</c:v>
                </c:pt>
                <c:pt idx="361">
                  <c:v>9.4696398199999994</c:v>
                </c:pt>
                <c:pt idx="362">
                  <c:v>17.46711243</c:v>
                </c:pt>
                <c:pt idx="363">
                  <c:v>13.883869880000001</c:v>
                </c:pt>
                <c:pt idx="364">
                  <c:v>6.5264545500000004</c:v>
                </c:pt>
                <c:pt idx="365">
                  <c:v>12.42299081</c:v>
                </c:pt>
                <c:pt idx="366">
                  <c:v>18.472669270000001</c:v>
                </c:pt>
                <c:pt idx="367">
                  <c:v>15.75336139</c:v>
                </c:pt>
                <c:pt idx="368">
                  <c:v>6.4911226900000001</c:v>
                </c:pt>
                <c:pt idx="369">
                  <c:v>18.392555120000001</c:v>
                </c:pt>
                <c:pt idx="370">
                  <c:v>14.950848390000001</c:v>
                </c:pt>
                <c:pt idx="371">
                  <c:v>18.333494909999999</c:v>
                </c:pt>
                <c:pt idx="372">
                  <c:v>118.3672907</c:v>
                </c:pt>
                <c:pt idx="373">
                  <c:v>107.04250690000001</c:v>
                </c:pt>
                <c:pt idx="374">
                  <c:v>23.78394716</c:v>
                </c:pt>
                <c:pt idx="375">
                  <c:v>25.907750579999998</c:v>
                </c:pt>
                <c:pt idx="376">
                  <c:v>22.218897699999999</c:v>
                </c:pt>
                <c:pt idx="377">
                  <c:v>23.356245550000001</c:v>
                </c:pt>
                <c:pt idx="378">
                  <c:v>21.748326989999999</c:v>
                </c:pt>
                <c:pt idx="379">
                  <c:v>26.2782728</c:v>
                </c:pt>
                <c:pt idx="380">
                  <c:v>28.017720570000002</c:v>
                </c:pt>
                <c:pt idx="381">
                  <c:v>25.442163350000001</c:v>
                </c:pt>
                <c:pt idx="382">
                  <c:v>22.982322750000002</c:v>
                </c:pt>
                <c:pt idx="383">
                  <c:v>17.74003183</c:v>
                </c:pt>
                <c:pt idx="384">
                  <c:v>7.1682240300000002</c:v>
                </c:pt>
                <c:pt idx="385">
                  <c:v>-3.9686339199999998</c:v>
                </c:pt>
                <c:pt idx="386">
                  <c:v>-0.13727250999999999</c:v>
                </c:pt>
                <c:pt idx="387">
                  <c:v>2.7925696100000001</c:v>
                </c:pt>
                <c:pt idx="388">
                  <c:v>6.4548138000000002</c:v>
                </c:pt>
                <c:pt idx="389">
                  <c:v>4.2016682000000003</c:v>
                </c:pt>
                <c:pt idx="390">
                  <c:v>3.7541103699999998</c:v>
                </c:pt>
                <c:pt idx="391">
                  <c:v>5.3312306700000001</c:v>
                </c:pt>
                <c:pt idx="392">
                  <c:v>6.3069052599999997</c:v>
                </c:pt>
                <c:pt idx="393">
                  <c:v>3.3081444699999998</c:v>
                </c:pt>
                <c:pt idx="394">
                  <c:v>3.8087579499999999</c:v>
                </c:pt>
                <c:pt idx="395">
                  <c:v>6.3720084899999998</c:v>
                </c:pt>
                <c:pt idx="396">
                  <c:v>17.05899294</c:v>
                </c:pt>
                <c:pt idx="397">
                  <c:v>4.7850194000000004</c:v>
                </c:pt>
                <c:pt idx="398">
                  <c:v>5.73617372</c:v>
                </c:pt>
                <c:pt idx="399">
                  <c:v>5.1454126000000002</c:v>
                </c:pt>
                <c:pt idx="400">
                  <c:v>8.5013186899999997</c:v>
                </c:pt>
                <c:pt idx="401">
                  <c:v>8.00366365</c:v>
                </c:pt>
                <c:pt idx="402">
                  <c:v>3.0823582200000001</c:v>
                </c:pt>
                <c:pt idx="403">
                  <c:v>7.4886634599999997</c:v>
                </c:pt>
                <c:pt idx="404">
                  <c:v>6.9860431199999997</c:v>
                </c:pt>
                <c:pt idx="405">
                  <c:v>4.98321448</c:v>
                </c:pt>
                <c:pt idx="406">
                  <c:v>0.40094534999999998</c:v>
                </c:pt>
                <c:pt idx="407">
                  <c:v>2.5457612300000001</c:v>
                </c:pt>
                <c:pt idx="408">
                  <c:v>13.87599271</c:v>
                </c:pt>
                <c:pt idx="409">
                  <c:v>13.532291799999999</c:v>
                </c:pt>
                <c:pt idx="410">
                  <c:v>6.4502362099999999</c:v>
                </c:pt>
                <c:pt idx="411">
                  <c:v>7.0988129799999999</c:v>
                </c:pt>
                <c:pt idx="412">
                  <c:v>5.3046833900000001</c:v>
                </c:pt>
                <c:pt idx="413">
                  <c:v>39.26475859</c:v>
                </c:pt>
                <c:pt idx="414">
                  <c:v>6.6654990600000001</c:v>
                </c:pt>
                <c:pt idx="415">
                  <c:v>9.5474370499999992</c:v>
                </c:pt>
                <c:pt idx="416">
                  <c:v>3.0472306200000001</c:v>
                </c:pt>
                <c:pt idx="417">
                  <c:v>10.37512093</c:v>
                </c:pt>
                <c:pt idx="418">
                  <c:v>7.9754248900000002</c:v>
                </c:pt>
                <c:pt idx="419">
                  <c:v>12.658166270000001</c:v>
                </c:pt>
                <c:pt idx="420">
                  <c:v>14.458755650000001</c:v>
                </c:pt>
                <c:pt idx="421">
                  <c:v>13.057856900000001</c:v>
                </c:pt>
                <c:pt idx="422">
                  <c:v>9.5878719599999993</c:v>
                </c:pt>
                <c:pt idx="423">
                  <c:v>10.88438455</c:v>
                </c:pt>
                <c:pt idx="424">
                  <c:v>12.44623331</c:v>
                </c:pt>
                <c:pt idx="425">
                  <c:v>8.6418770200000008</c:v>
                </c:pt>
                <c:pt idx="426">
                  <c:v>8.09721592</c:v>
                </c:pt>
                <c:pt idx="427">
                  <c:v>6.1567032700000004</c:v>
                </c:pt>
                <c:pt idx="428">
                  <c:v>7.7081209700000004</c:v>
                </c:pt>
                <c:pt idx="429">
                  <c:v>3.59207886</c:v>
                </c:pt>
                <c:pt idx="430">
                  <c:v>4.2806607999999997</c:v>
                </c:pt>
                <c:pt idx="431">
                  <c:v>3.7122937600000001</c:v>
                </c:pt>
                <c:pt idx="432">
                  <c:v>10.885016930000001</c:v>
                </c:pt>
                <c:pt idx="433">
                  <c:v>9.3906017300000002</c:v>
                </c:pt>
                <c:pt idx="434">
                  <c:v>9.1438267900000003</c:v>
                </c:pt>
                <c:pt idx="435">
                  <c:v>6.6048189400000004</c:v>
                </c:pt>
                <c:pt idx="436">
                  <c:v>6.0937649599999997</c:v>
                </c:pt>
                <c:pt idx="437">
                  <c:v>6.0546019900000001</c:v>
                </c:pt>
                <c:pt idx="438">
                  <c:v>5.70041726</c:v>
                </c:pt>
                <c:pt idx="439">
                  <c:v>6.3490759600000004</c:v>
                </c:pt>
                <c:pt idx="440">
                  <c:v>16.146441880000001</c:v>
                </c:pt>
                <c:pt idx="441">
                  <c:v>6.5585775100000001</c:v>
                </c:pt>
                <c:pt idx="442">
                  <c:v>6.3741468000000001</c:v>
                </c:pt>
                <c:pt idx="443">
                  <c:v>4.3002273999999998</c:v>
                </c:pt>
                <c:pt idx="444">
                  <c:v>5.4395256200000004</c:v>
                </c:pt>
                <c:pt idx="445">
                  <c:v>6.1137392100000003</c:v>
                </c:pt>
                <c:pt idx="446">
                  <c:v>5.5496291299999996</c:v>
                </c:pt>
                <c:pt idx="447">
                  <c:v>7.5969200499999996</c:v>
                </c:pt>
                <c:pt idx="448">
                  <c:v>25.052981710000001</c:v>
                </c:pt>
                <c:pt idx="449">
                  <c:v>4.5760515599999998</c:v>
                </c:pt>
                <c:pt idx="450">
                  <c:v>4.0438422999999997</c:v>
                </c:pt>
                <c:pt idx="451">
                  <c:v>1.92453641</c:v>
                </c:pt>
                <c:pt idx="452">
                  <c:v>11.1715748</c:v>
                </c:pt>
                <c:pt idx="453">
                  <c:v>5.2533546900000001</c:v>
                </c:pt>
                <c:pt idx="454">
                  <c:v>6.5095548599999997</c:v>
                </c:pt>
                <c:pt idx="455">
                  <c:v>6.0877460000000001E-2</c:v>
                </c:pt>
                <c:pt idx="456">
                  <c:v>28.623204279999999</c:v>
                </c:pt>
                <c:pt idx="457">
                  <c:v>8.2978926899999994</c:v>
                </c:pt>
                <c:pt idx="458">
                  <c:v>10.46935412</c:v>
                </c:pt>
                <c:pt idx="459">
                  <c:v>9.0970620600000007</c:v>
                </c:pt>
                <c:pt idx="460">
                  <c:v>8.9246530899999996</c:v>
                </c:pt>
                <c:pt idx="461">
                  <c:v>5.7713494900000004</c:v>
                </c:pt>
                <c:pt idx="462">
                  <c:v>6.6783289799999999</c:v>
                </c:pt>
                <c:pt idx="463">
                  <c:v>6.7140581700000004</c:v>
                </c:pt>
                <c:pt idx="464">
                  <c:v>1.0821993599999999</c:v>
                </c:pt>
                <c:pt idx="465">
                  <c:v>4.7170820500000001</c:v>
                </c:pt>
                <c:pt idx="466">
                  <c:v>5.7619309200000002</c:v>
                </c:pt>
                <c:pt idx="467">
                  <c:v>2.4416339800000002</c:v>
                </c:pt>
                <c:pt idx="468">
                  <c:v>3.8549559200000001</c:v>
                </c:pt>
                <c:pt idx="469">
                  <c:v>7.76181755</c:v>
                </c:pt>
                <c:pt idx="470">
                  <c:v>4.5286407300000002</c:v>
                </c:pt>
                <c:pt idx="471">
                  <c:v>2.6032362299999998</c:v>
                </c:pt>
                <c:pt idx="472">
                  <c:v>-2.3767716700000001</c:v>
                </c:pt>
                <c:pt idx="473">
                  <c:v>1.5450422800000001</c:v>
                </c:pt>
                <c:pt idx="474">
                  <c:v>3.0950657399999999</c:v>
                </c:pt>
                <c:pt idx="475">
                  <c:v>7.9563119599999998</c:v>
                </c:pt>
                <c:pt idx="476">
                  <c:v>4.6329818300000003</c:v>
                </c:pt>
                <c:pt idx="477">
                  <c:v>3.0589965800000001</c:v>
                </c:pt>
                <c:pt idx="478">
                  <c:v>1.5885324300000001</c:v>
                </c:pt>
                <c:pt idx="479">
                  <c:v>1.65580364</c:v>
                </c:pt>
                <c:pt idx="480">
                  <c:v>4.9126712499999998</c:v>
                </c:pt>
                <c:pt idx="481">
                  <c:v>5.0780732500000001</c:v>
                </c:pt>
                <c:pt idx="482">
                  <c:v>2.91605224</c:v>
                </c:pt>
                <c:pt idx="483">
                  <c:v>-0.15386833</c:v>
                </c:pt>
                <c:pt idx="484">
                  <c:v>7.53878936</c:v>
                </c:pt>
                <c:pt idx="485">
                  <c:v>3.2363365000000002</c:v>
                </c:pt>
                <c:pt idx="486">
                  <c:v>1.6290812100000001</c:v>
                </c:pt>
                <c:pt idx="487">
                  <c:v>0.25624809999999998</c:v>
                </c:pt>
                <c:pt idx="488">
                  <c:v>4.6092960600000001</c:v>
                </c:pt>
                <c:pt idx="489">
                  <c:v>3.1205977200000001</c:v>
                </c:pt>
                <c:pt idx="490">
                  <c:v>0.88687450999999995</c:v>
                </c:pt>
                <c:pt idx="491">
                  <c:v>-2.3044249999999999E-2</c:v>
                </c:pt>
                <c:pt idx="492">
                  <c:v>2.7135806800000002</c:v>
                </c:pt>
                <c:pt idx="493">
                  <c:v>1.9313785299999999</c:v>
                </c:pt>
                <c:pt idx="494">
                  <c:v>1.9002938199999999</c:v>
                </c:pt>
                <c:pt idx="495">
                  <c:v>1.21544377</c:v>
                </c:pt>
                <c:pt idx="496">
                  <c:v>1.8144585799999999</c:v>
                </c:pt>
                <c:pt idx="497">
                  <c:v>2.54542351</c:v>
                </c:pt>
                <c:pt idx="498">
                  <c:v>4.4387965100000004</c:v>
                </c:pt>
                <c:pt idx="499">
                  <c:v>4.83762369</c:v>
                </c:pt>
                <c:pt idx="500">
                  <c:v>3.8751096500000002</c:v>
                </c:pt>
                <c:pt idx="501">
                  <c:v>3.8213883100000001</c:v>
                </c:pt>
                <c:pt idx="502">
                  <c:v>6.2264987600000001</c:v>
                </c:pt>
                <c:pt idx="503">
                  <c:v>8.6995504700000001</c:v>
                </c:pt>
                <c:pt idx="504">
                  <c:v>4.32588755</c:v>
                </c:pt>
                <c:pt idx="505">
                  <c:v>4.5650008199999998</c:v>
                </c:pt>
                <c:pt idx="506">
                  <c:v>7.0258189</c:v>
                </c:pt>
                <c:pt idx="507">
                  <c:v>3.38787759</c:v>
                </c:pt>
                <c:pt idx="508">
                  <c:v>3.21351707</c:v>
                </c:pt>
                <c:pt idx="509">
                  <c:v>2.8796142200000001</c:v>
                </c:pt>
                <c:pt idx="510">
                  <c:v>4.6672275299999999</c:v>
                </c:pt>
                <c:pt idx="511">
                  <c:v>3.4145157099999999</c:v>
                </c:pt>
                <c:pt idx="512">
                  <c:v>3.2971262600000002</c:v>
                </c:pt>
                <c:pt idx="513">
                  <c:v>2.5033873299999998</c:v>
                </c:pt>
                <c:pt idx="514">
                  <c:v>3.0064406199999998</c:v>
                </c:pt>
                <c:pt idx="515">
                  <c:v>3.5863776999999999</c:v>
                </c:pt>
                <c:pt idx="516">
                  <c:v>5.1214405799999998</c:v>
                </c:pt>
                <c:pt idx="517">
                  <c:v>3.32731201</c:v>
                </c:pt>
                <c:pt idx="518">
                  <c:v>2.3791191299999999</c:v>
                </c:pt>
                <c:pt idx="519">
                  <c:v>2.4410939900000002</c:v>
                </c:pt>
                <c:pt idx="520">
                  <c:v>1.34518414</c:v>
                </c:pt>
                <c:pt idx="521">
                  <c:v>5.3844996800000002</c:v>
                </c:pt>
                <c:pt idx="522">
                  <c:v>3.1519938600000001</c:v>
                </c:pt>
                <c:pt idx="523">
                  <c:v>4.1195749900000003</c:v>
                </c:pt>
                <c:pt idx="524">
                  <c:v>1.78121437</c:v>
                </c:pt>
                <c:pt idx="525">
                  <c:v>4.1576783400000004</c:v>
                </c:pt>
                <c:pt idx="526">
                  <c:v>3.1165877800000001</c:v>
                </c:pt>
                <c:pt idx="527">
                  <c:v>3.3462348500000001</c:v>
                </c:pt>
                <c:pt idx="528">
                  <c:v>4.3275595200000003</c:v>
                </c:pt>
                <c:pt idx="529">
                  <c:v>2.9634946000000002</c:v>
                </c:pt>
                <c:pt idx="530">
                  <c:v>3.0232762499999999</c:v>
                </c:pt>
                <c:pt idx="531">
                  <c:v>3.7254485900000001</c:v>
                </c:pt>
                <c:pt idx="532">
                  <c:v>6.0406931100000003</c:v>
                </c:pt>
                <c:pt idx="533">
                  <c:v>6.2125112299999996</c:v>
                </c:pt>
                <c:pt idx="534">
                  <c:v>4.9381195800000004</c:v>
                </c:pt>
                <c:pt idx="535">
                  <c:v>4.4238577499999998</c:v>
                </c:pt>
                <c:pt idx="536">
                  <c:v>8.8951757199999992</c:v>
                </c:pt>
                <c:pt idx="537">
                  <c:v>7.7713964999999998</c:v>
                </c:pt>
                <c:pt idx="538">
                  <c:v>5.8560195000000004</c:v>
                </c:pt>
                <c:pt idx="539">
                  <c:v>5.9456531400000001</c:v>
                </c:pt>
                <c:pt idx="540">
                  <c:v>8.6002817300000007</c:v>
                </c:pt>
                <c:pt idx="541">
                  <c:v>6.6543756399999996</c:v>
                </c:pt>
                <c:pt idx="542">
                  <c:v>4.4036004599999998</c:v>
                </c:pt>
                <c:pt idx="543">
                  <c:v>6.27576263</c:v>
                </c:pt>
                <c:pt idx="544">
                  <c:v>9.4377269199999994</c:v>
                </c:pt>
                <c:pt idx="545">
                  <c:v>4.3111503100000004</c:v>
                </c:pt>
                <c:pt idx="546">
                  <c:v>6.2900948200000002</c:v>
                </c:pt>
                <c:pt idx="547">
                  <c:v>6.2359385899999999</c:v>
                </c:pt>
                <c:pt idx="548">
                  <c:v>19.290781110000001</c:v>
                </c:pt>
                <c:pt idx="549">
                  <c:v>3.7839782300000002</c:v>
                </c:pt>
                <c:pt idx="550">
                  <c:v>3.24748415</c:v>
                </c:pt>
                <c:pt idx="551">
                  <c:v>2.5865367500000001</c:v>
                </c:pt>
                <c:pt idx="552">
                  <c:v>15.40359228</c:v>
                </c:pt>
                <c:pt idx="553">
                  <c:v>3.64071297</c:v>
                </c:pt>
                <c:pt idx="554">
                  <c:v>3.1179611899999999</c:v>
                </c:pt>
                <c:pt idx="555">
                  <c:v>3.8298413899999999</c:v>
                </c:pt>
                <c:pt idx="556">
                  <c:v>1.2290300000000001E-3</c:v>
                </c:pt>
                <c:pt idx="557">
                  <c:v>2.4475601500000002</c:v>
                </c:pt>
                <c:pt idx="558">
                  <c:v>3.42390631</c:v>
                </c:pt>
                <c:pt idx="559">
                  <c:v>3.5729465500000002</c:v>
                </c:pt>
                <c:pt idx="560">
                  <c:v>3.44656757</c:v>
                </c:pt>
                <c:pt idx="561">
                  <c:v>5.5503817399999997</c:v>
                </c:pt>
                <c:pt idx="562">
                  <c:v>4.6836261700000001</c:v>
                </c:pt>
                <c:pt idx="563">
                  <c:v>6.0589796700000003</c:v>
                </c:pt>
                <c:pt idx="564">
                  <c:v>0.95362427000000005</c:v>
                </c:pt>
                <c:pt idx="565">
                  <c:v>8.2960981</c:v>
                </c:pt>
                <c:pt idx="566">
                  <c:v>7.6134363599999997</c:v>
                </c:pt>
                <c:pt idx="567">
                  <c:v>7.4324924499999998</c:v>
                </c:pt>
                <c:pt idx="568">
                  <c:v>-3.6021669900000002</c:v>
                </c:pt>
                <c:pt idx="569">
                  <c:v>5.2717625400000001</c:v>
                </c:pt>
                <c:pt idx="570">
                  <c:v>6.4914295299999996</c:v>
                </c:pt>
                <c:pt idx="571">
                  <c:v>7.6127789699999999</c:v>
                </c:pt>
                <c:pt idx="572">
                  <c:v>12.01274836</c:v>
                </c:pt>
                <c:pt idx="573">
                  <c:v>7.46788893</c:v>
                </c:pt>
                <c:pt idx="574">
                  <c:v>6.9112580499999998</c:v>
                </c:pt>
                <c:pt idx="575">
                  <c:v>11.62452053</c:v>
                </c:pt>
                <c:pt idx="576">
                  <c:v>7.499161E-2</c:v>
                </c:pt>
                <c:pt idx="577">
                  <c:v>11.50403654</c:v>
                </c:pt>
                <c:pt idx="578">
                  <c:v>6.9392589300000003</c:v>
                </c:pt>
                <c:pt idx="579">
                  <c:v>3.51182661</c:v>
                </c:pt>
                <c:pt idx="580">
                  <c:v>4.29484215</c:v>
                </c:pt>
                <c:pt idx="581">
                  <c:v>4.6238820499999997</c:v>
                </c:pt>
                <c:pt idx="582">
                  <c:v>5.1928473200000003</c:v>
                </c:pt>
                <c:pt idx="583">
                  <c:v>3.7309103499999998</c:v>
                </c:pt>
                <c:pt idx="584">
                  <c:v>6.4253784999999999</c:v>
                </c:pt>
                <c:pt idx="585">
                  <c:v>3.8524544500000002</c:v>
                </c:pt>
                <c:pt idx="586">
                  <c:v>2.1551404000000001</c:v>
                </c:pt>
                <c:pt idx="587">
                  <c:v>2.3659312199999998</c:v>
                </c:pt>
                <c:pt idx="588">
                  <c:v>4.4392209600000001</c:v>
                </c:pt>
                <c:pt idx="589">
                  <c:v>4.0022493199999998</c:v>
                </c:pt>
                <c:pt idx="590">
                  <c:v>3.2883362200000001</c:v>
                </c:pt>
                <c:pt idx="591">
                  <c:v>4.3033901200000004</c:v>
                </c:pt>
                <c:pt idx="592">
                  <c:v>3.9434707699999998</c:v>
                </c:pt>
                <c:pt idx="593">
                  <c:v>3.1657859099999999</c:v>
                </c:pt>
                <c:pt idx="594">
                  <c:v>1.8735767999999999</c:v>
                </c:pt>
                <c:pt idx="595">
                  <c:v>3.7037954399999999</c:v>
                </c:pt>
                <c:pt idx="596">
                  <c:v>3.6673535500000001</c:v>
                </c:pt>
                <c:pt idx="597">
                  <c:v>2.34376045</c:v>
                </c:pt>
                <c:pt idx="598">
                  <c:v>5.8001920900000004</c:v>
                </c:pt>
                <c:pt idx="599">
                  <c:v>6.8412537899999997</c:v>
                </c:pt>
                <c:pt idx="600">
                  <c:v>9.7877724599999993</c:v>
                </c:pt>
                <c:pt idx="601">
                  <c:v>3.6105703600000001</c:v>
                </c:pt>
                <c:pt idx="602">
                  <c:v>5.9942965900000003</c:v>
                </c:pt>
                <c:pt idx="603">
                  <c:v>3.7690840200000002</c:v>
                </c:pt>
                <c:pt idx="604">
                  <c:v>3.6931664500000001</c:v>
                </c:pt>
                <c:pt idx="605">
                  <c:v>6.0940835499999997</c:v>
                </c:pt>
                <c:pt idx="606">
                  <c:v>5.0573179699999997</c:v>
                </c:pt>
                <c:pt idx="607">
                  <c:v>5.8432318700000003</c:v>
                </c:pt>
                <c:pt idx="608">
                  <c:v>2.4555091500000001</c:v>
                </c:pt>
                <c:pt idx="609">
                  <c:v>3.24067259</c:v>
                </c:pt>
                <c:pt idx="610">
                  <c:v>2.68918598</c:v>
                </c:pt>
                <c:pt idx="611">
                  <c:v>2.3339099600000002</c:v>
                </c:pt>
                <c:pt idx="612">
                  <c:v>4.0986695400000004</c:v>
                </c:pt>
                <c:pt idx="613">
                  <c:v>7.7307051600000003</c:v>
                </c:pt>
                <c:pt idx="614">
                  <c:v>3.23958726</c:v>
                </c:pt>
                <c:pt idx="615">
                  <c:v>1.4374872999999999</c:v>
                </c:pt>
                <c:pt idx="616">
                  <c:v>5.7716356500000003</c:v>
                </c:pt>
                <c:pt idx="617">
                  <c:v>4.7047677400000003</c:v>
                </c:pt>
                <c:pt idx="618">
                  <c:v>5.1744964600000003</c:v>
                </c:pt>
                <c:pt idx="619">
                  <c:v>2.8214009799999999</c:v>
                </c:pt>
                <c:pt idx="620">
                  <c:v>1.81314672</c:v>
                </c:pt>
                <c:pt idx="621">
                  <c:v>3.7466633900000001</c:v>
                </c:pt>
                <c:pt idx="622">
                  <c:v>2.4018320200000001</c:v>
                </c:pt>
                <c:pt idx="623">
                  <c:v>2.9006749599999999</c:v>
                </c:pt>
                <c:pt idx="624">
                  <c:v>3.17082278</c:v>
                </c:pt>
                <c:pt idx="625">
                  <c:v>3.20699574</c:v>
                </c:pt>
                <c:pt idx="626">
                  <c:v>4.4346180799999999</c:v>
                </c:pt>
                <c:pt idx="627">
                  <c:v>5.0142828399999999</c:v>
                </c:pt>
                <c:pt idx="628">
                  <c:v>4.2773960200000003</c:v>
                </c:pt>
                <c:pt idx="629">
                  <c:v>5.0921965599999996</c:v>
                </c:pt>
                <c:pt idx="630">
                  <c:v>5.3329348200000002</c:v>
                </c:pt>
                <c:pt idx="631">
                  <c:v>5.2285514900000001</c:v>
                </c:pt>
                <c:pt idx="632">
                  <c:v>9.1536248699999998</c:v>
                </c:pt>
                <c:pt idx="633">
                  <c:v>3.8325202200000001</c:v>
                </c:pt>
                <c:pt idx="634">
                  <c:v>4.8815380800000003</c:v>
                </c:pt>
                <c:pt idx="635">
                  <c:v>3.0254367000000002</c:v>
                </c:pt>
                <c:pt idx="636">
                  <c:v>7.7435054499999998</c:v>
                </c:pt>
                <c:pt idx="637">
                  <c:v>4.2807511500000004</c:v>
                </c:pt>
                <c:pt idx="638">
                  <c:v>2.8605213200000001</c:v>
                </c:pt>
                <c:pt idx="639">
                  <c:v>-1.6338785600000001</c:v>
                </c:pt>
                <c:pt idx="640">
                  <c:v>12.831931519999999</c:v>
                </c:pt>
                <c:pt idx="641">
                  <c:v>3.8523019999999999</c:v>
                </c:pt>
                <c:pt idx="642">
                  <c:v>1.96876461</c:v>
                </c:pt>
                <c:pt idx="643">
                  <c:v>0.89771615999999999</c:v>
                </c:pt>
                <c:pt idx="644">
                  <c:v>4.7399008599999997</c:v>
                </c:pt>
                <c:pt idx="645">
                  <c:v>0.78578787000000005</c:v>
                </c:pt>
                <c:pt idx="646">
                  <c:v>6.3513329599999997</c:v>
                </c:pt>
                <c:pt idx="647">
                  <c:v>15.814748440000001</c:v>
                </c:pt>
                <c:pt idx="648">
                  <c:v>103.46562059999999</c:v>
                </c:pt>
                <c:pt idx="649">
                  <c:v>42.01226965</c:v>
                </c:pt>
                <c:pt idx="650">
                  <c:v>38.477077909999998</c:v>
                </c:pt>
                <c:pt idx="651">
                  <c:v>16.819932470000001</c:v>
                </c:pt>
                <c:pt idx="652">
                  <c:v>2.4577665799999999</c:v>
                </c:pt>
                <c:pt idx="653">
                  <c:v>14.96271024</c:v>
                </c:pt>
                <c:pt idx="654">
                  <c:v>16.236550229999999</c:v>
                </c:pt>
                <c:pt idx="655">
                  <c:v>18.682373890000001</c:v>
                </c:pt>
                <c:pt idx="656">
                  <c:v>23.710048870000001</c:v>
                </c:pt>
                <c:pt idx="657">
                  <c:v>21.088701660000002</c:v>
                </c:pt>
                <c:pt idx="658">
                  <c:v>20.716733009999999</c:v>
                </c:pt>
                <c:pt idx="659">
                  <c:v>26.391972639999999</c:v>
                </c:pt>
                <c:pt idx="660">
                  <c:v>7.6994872499999998</c:v>
                </c:pt>
                <c:pt idx="661">
                  <c:v>6.44631372</c:v>
                </c:pt>
                <c:pt idx="662">
                  <c:v>7.7904282399999998</c:v>
                </c:pt>
                <c:pt idx="663">
                  <c:v>8.8989636599999997</c:v>
                </c:pt>
                <c:pt idx="664">
                  <c:v>14.83608999</c:v>
                </c:pt>
                <c:pt idx="665">
                  <c:v>10.961366679999999</c:v>
                </c:pt>
                <c:pt idx="666">
                  <c:v>4.8758148800000001</c:v>
                </c:pt>
                <c:pt idx="667">
                  <c:v>6.7375763500000003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82.506230000000002</c:v>
                </c:pt>
                <c:pt idx="1">
                  <c:v>75.337599999999995</c:v>
                </c:pt>
                <c:pt idx="2">
                  <c:v>76.29419</c:v>
                </c:pt>
                <c:pt idx="3">
                  <c:v>65.049520000000001</c:v>
                </c:pt>
                <c:pt idx="4">
                  <c:v>51.790379999999999</c:v>
                </c:pt>
                <c:pt idx="5">
                  <c:v>45.382210000000001</c:v>
                </c:pt>
                <c:pt idx="6">
                  <c:v>35.665939999999999</c:v>
                </c:pt>
                <c:pt idx="7">
                  <c:v>58.002670000000002</c:v>
                </c:pt>
                <c:pt idx="8">
                  <c:v>43.096060000000001</c:v>
                </c:pt>
                <c:pt idx="9">
                  <c:v>41.57931</c:v>
                </c:pt>
                <c:pt idx="10">
                  <c:v>47.69896</c:v>
                </c:pt>
                <c:pt idx="11">
                  <c:v>56.596240000000002</c:v>
                </c:pt>
                <c:pt idx="12">
                  <c:v>40.546709999999997</c:v>
                </c:pt>
                <c:pt idx="13">
                  <c:v>47.230029999999999</c:v>
                </c:pt>
                <c:pt idx="14">
                  <c:v>48.741529999999997</c:v>
                </c:pt>
                <c:pt idx="15">
                  <c:v>37.836280000000002</c:v>
                </c:pt>
                <c:pt idx="16">
                  <c:v>49.958390000000001</c:v>
                </c:pt>
                <c:pt idx="17">
                  <c:v>37.0471</c:v>
                </c:pt>
                <c:pt idx="18">
                  <c:v>37.064120000000003</c:v>
                </c:pt>
                <c:pt idx="19">
                  <c:v>29.761659999999999</c:v>
                </c:pt>
                <c:pt idx="20">
                  <c:v>28.676600000000001</c:v>
                </c:pt>
                <c:pt idx="21">
                  <c:v>25.948090000000001</c:v>
                </c:pt>
                <c:pt idx="22">
                  <c:v>37.790900000000001</c:v>
                </c:pt>
                <c:pt idx="23">
                  <c:v>23.312329999999999</c:v>
                </c:pt>
                <c:pt idx="24">
                  <c:v>62.971559999999997</c:v>
                </c:pt>
                <c:pt idx="25">
                  <c:v>51.188580000000002</c:v>
                </c:pt>
                <c:pt idx="26">
                  <c:v>50.109020000000001</c:v>
                </c:pt>
                <c:pt idx="27">
                  <c:v>52.999920000000003</c:v>
                </c:pt>
                <c:pt idx="28">
                  <c:v>44.731659999999998</c:v>
                </c:pt>
                <c:pt idx="29">
                  <c:v>68.319879999999998</c:v>
                </c:pt>
                <c:pt idx="30">
                  <c:v>86.148380000000003</c:v>
                </c:pt>
                <c:pt idx="31">
                  <c:v>87.776889999999995</c:v>
                </c:pt>
                <c:pt idx="32">
                  <c:v>15.258940000000001</c:v>
                </c:pt>
                <c:pt idx="33">
                  <c:v>37.28604</c:v>
                </c:pt>
                <c:pt idx="34">
                  <c:v>29.082080000000001</c:v>
                </c:pt>
                <c:pt idx="35">
                  <c:v>67.514150000000001</c:v>
                </c:pt>
                <c:pt idx="36">
                  <c:v>45.642740000000003</c:v>
                </c:pt>
                <c:pt idx="37">
                  <c:v>64.952399999999997</c:v>
                </c:pt>
                <c:pt idx="38">
                  <c:v>71.27807</c:v>
                </c:pt>
                <c:pt idx="39">
                  <c:v>77.101470000000006</c:v>
                </c:pt>
                <c:pt idx="40">
                  <c:v>54.239319999999999</c:v>
                </c:pt>
                <c:pt idx="41">
                  <c:v>49.156689999999998</c:v>
                </c:pt>
                <c:pt idx="42">
                  <c:v>48.196100000000001</c:v>
                </c:pt>
                <c:pt idx="43">
                  <c:v>57.203769999999999</c:v>
                </c:pt>
                <c:pt idx="44">
                  <c:v>56.247810000000001</c:v>
                </c:pt>
                <c:pt idx="45">
                  <c:v>55.845889999999997</c:v>
                </c:pt>
                <c:pt idx="46">
                  <c:v>44.701419999999999</c:v>
                </c:pt>
                <c:pt idx="47">
                  <c:v>56.299990000000001</c:v>
                </c:pt>
                <c:pt idx="48">
                  <c:v>63.247349999999997</c:v>
                </c:pt>
                <c:pt idx="49">
                  <c:v>69.207560000000001</c:v>
                </c:pt>
                <c:pt idx="50">
                  <c:v>58.910989999999998</c:v>
                </c:pt>
                <c:pt idx="51">
                  <c:v>75.359849999999994</c:v>
                </c:pt>
                <c:pt idx="52">
                  <c:v>50.340789999999998</c:v>
                </c:pt>
                <c:pt idx="53">
                  <c:v>58.824750000000002</c:v>
                </c:pt>
                <c:pt idx="54">
                  <c:v>44.149639999999998</c:v>
                </c:pt>
                <c:pt idx="55">
                  <c:v>45.347830000000002</c:v>
                </c:pt>
                <c:pt idx="56">
                  <c:v>69.316050000000004</c:v>
                </c:pt>
                <c:pt idx="57">
                  <c:v>29.19707</c:v>
                </c:pt>
                <c:pt idx="58">
                  <c:v>42.73789</c:v>
                </c:pt>
                <c:pt idx="59">
                  <c:v>43.185180000000003</c:v>
                </c:pt>
                <c:pt idx="60">
                  <c:v>99.972499999999997</c:v>
                </c:pt>
                <c:pt idx="61">
                  <c:v>66.484009999999998</c:v>
                </c:pt>
                <c:pt idx="62">
                  <c:v>62.761139999999997</c:v>
                </c:pt>
                <c:pt idx="63">
                  <c:v>67.922820000000002</c:v>
                </c:pt>
                <c:pt idx="64">
                  <c:v>91.006960000000007</c:v>
                </c:pt>
                <c:pt idx="65">
                  <c:v>64.901300000000006</c:v>
                </c:pt>
                <c:pt idx="66">
                  <c:v>41.29222</c:v>
                </c:pt>
                <c:pt idx="67">
                  <c:v>47.070259999999998</c:v>
                </c:pt>
                <c:pt idx="68">
                  <c:v>71.65128</c:v>
                </c:pt>
                <c:pt idx="69">
                  <c:v>70.614040000000003</c:v>
                </c:pt>
                <c:pt idx="70">
                  <c:v>53.751609999999999</c:v>
                </c:pt>
                <c:pt idx="71">
                  <c:v>47.207749999999997</c:v>
                </c:pt>
                <c:pt idx="72">
                  <c:v>98.765929999999997</c:v>
                </c:pt>
                <c:pt idx="73">
                  <c:v>79.153170000000003</c:v>
                </c:pt>
                <c:pt idx="74">
                  <c:v>59.158769999999997</c:v>
                </c:pt>
                <c:pt idx="75">
                  <c:v>67.690110000000004</c:v>
                </c:pt>
                <c:pt idx="76">
                  <c:v>118.51406</c:v>
                </c:pt>
                <c:pt idx="77">
                  <c:v>91.662480000000002</c:v>
                </c:pt>
                <c:pt idx="78">
                  <c:v>89.501320000000007</c:v>
                </c:pt>
                <c:pt idx="79">
                  <c:v>57.521940000000001</c:v>
                </c:pt>
                <c:pt idx="80">
                  <c:v>79.489239999999995</c:v>
                </c:pt>
                <c:pt idx="81">
                  <c:v>98.610230000000001</c:v>
                </c:pt>
                <c:pt idx="82">
                  <c:v>91.08229</c:v>
                </c:pt>
                <c:pt idx="83">
                  <c:v>118.22230999999999</c:v>
                </c:pt>
                <c:pt idx="84">
                  <c:v>86.304580000000001</c:v>
                </c:pt>
                <c:pt idx="85">
                  <c:v>84.866259999999997</c:v>
                </c:pt>
                <c:pt idx="86">
                  <c:v>94.58372</c:v>
                </c:pt>
                <c:pt idx="87">
                  <c:v>120.39608</c:v>
                </c:pt>
                <c:pt idx="88">
                  <c:v>61.135210000000001</c:v>
                </c:pt>
                <c:pt idx="89">
                  <c:v>59.100830000000002</c:v>
                </c:pt>
                <c:pt idx="90">
                  <c:v>96.121660000000006</c:v>
                </c:pt>
                <c:pt idx="91">
                  <c:v>117.82705</c:v>
                </c:pt>
                <c:pt idx="92">
                  <c:v>65.579160000000002</c:v>
                </c:pt>
                <c:pt idx="93">
                  <c:v>66.846980000000002</c:v>
                </c:pt>
                <c:pt idx="94">
                  <c:v>110.30837</c:v>
                </c:pt>
                <c:pt idx="95">
                  <c:v>123.03147</c:v>
                </c:pt>
                <c:pt idx="96">
                  <c:v>84.311040000000006</c:v>
                </c:pt>
                <c:pt idx="97">
                  <c:v>121.04329</c:v>
                </c:pt>
                <c:pt idx="98">
                  <c:v>120.10138999999999</c:v>
                </c:pt>
                <c:pt idx="99">
                  <c:v>95.577240000000003</c:v>
                </c:pt>
                <c:pt idx="100">
                  <c:v>56.3093</c:v>
                </c:pt>
                <c:pt idx="101">
                  <c:v>62.69753</c:v>
                </c:pt>
                <c:pt idx="102">
                  <c:v>50.706319999999998</c:v>
                </c:pt>
                <c:pt idx="103">
                  <c:v>74.2376</c:v>
                </c:pt>
                <c:pt idx="104">
                  <c:v>53.679360000000003</c:v>
                </c:pt>
                <c:pt idx="105">
                  <c:v>46.758760000000002</c:v>
                </c:pt>
                <c:pt idx="106">
                  <c:v>37.077530000000003</c:v>
                </c:pt>
                <c:pt idx="107">
                  <c:v>37.83146</c:v>
                </c:pt>
                <c:pt idx="108">
                  <c:v>25.776479999999999</c:v>
                </c:pt>
                <c:pt idx="109">
                  <c:v>20.709669999999999</c:v>
                </c:pt>
                <c:pt idx="110">
                  <c:v>25.703710000000001</c:v>
                </c:pt>
                <c:pt idx="111">
                  <c:v>37.783659999999998</c:v>
                </c:pt>
                <c:pt idx="112">
                  <c:v>39.270710000000001</c:v>
                </c:pt>
                <c:pt idx="113">
                  <c:v>34.981349999999999</c:v>
                </c:pt>
                <c:pt idx="114">
                  <c:v>41.66198</c:v>
                </c:pt>
                <c:pt idx="115">
                  <c:v>34.731319999999997</c:v>
                </c:pt>
                <c:pt idx="116">
                  <c:v>47.740070000000003</c:v>
                </c:pt>
                <c:pt idx="117">
                  <c:v>33.715200000000003</c:v>
                </c:pt>
                <c:pt idx="118">
                  <c:v>46.490360000000003</c:v>
                </c:pt>
                <c:pt idx="119">
                  <c:v>46.551180000000002</c:v>
                </c:pt>
                <c:pt idx="120">
                  <c:v>101.34893</c:v>
                </c:pt>
                <c:pt idx="121">
                  <c:v>73.587130000000002</c:v>
                </c:pt>
                <c:pt idx="122">
                  <c:v>48.429279999999999</c:v>
                </c:pt>
                <c:pt idx="123">
                  <c:v>47.714970000000001</c:v>
                </c:pt>
                <c:pt idx="124">
                  <c:v>61.525509999999997</c:v>
                </c:pt>
                <c:pt idx="125">
                  <c:v>45.021909999999998</c:v>
                </c:pt>
                <c:pt idx="126">
                  <c:v>60.591589999999997</c:v>
                </c:pt>
                <c:pt idx="127">
                  <c:v>61.098030000000001</c:v>
                </c:pt>
                <c:pt idx="128">
                  <c:v>58.040999999999997</c:v>
                </c:pt>
                <c:pt idx="129">
                  <c:v>50.41281</c:v>
                </c:pt>
                <c:pt idx="130">
                  <c:v>53.191310000000001</c:v>
                </c:pt>
                <c:pt idx="131">
                  <c:v>61.022170000000003</c:v>
                </c:pt>
                <c:pt idx="132">
                  <c:v>53.980170000000001</c:v>
                </c:pt>
                <c:pt idx="133">
                  <c:v>57.907420000000002</c:v>
                </c:pt>
                <c:pt idx="134">
                  <c:v>75.070930000000004</c:v>
                </c:pt>
                <c:pt idx="135">
                  <c:v>101.01586</c:v>
                </c:pt>
                <c:pt idx="136">
                  <c:v>82.865139999999997</c:v>
                </c:pt>
                <c:pt idx="137">
                  <c:v>78.425399999999996</c:v>
                </c:pt>
                <c:pt idx="138">
                  <c:v>88.070729999999998</c:v>
                </c:pt>
                <c:pt idx="139">
                  <c:v>77.051479999999998</c:v>
                </c:pt>
                <c:pt idx="140">
                  <c:v>74.444460000000007</c:v>
                </c:pt>
                <c:pt idx="141">
                  <c:v>73.804349999999999</c:v>
                </c:pt>
                <c:pt idx="142">
                  <c:v>99.161500000000004</c:v>
                </c:pt>
                <c:pt idx="143">
                  <c:v>90.853800000000007</c:v>
                </c:pt>
                <c:pt idx="144">
                  <c:v>131.37974</c:v>
                </c:pt>
                <c:pt idx="145">
                  <c:v>135.77172999999999</c:v>
                </c:pt>
                <c:pt idx="146">
                  <c:v>141.42420999999999</c:v>
                </c:pt>
                <c:pt idx="147">
                  <c:v>112.3523</c:v>
                </c:pt>
                <c:pt idx="148">
                  <c:v>92.176900000000003</c:v>
                </c:pt>
                <c:pt idx="149">
                  <c:v>130.22105999999999</c:v>
                </c:pt>
                <c:pt idx="150">
                  <c:v>105.97114000000001</c:v>
                </c:pt>
                <c:pt idx="151">
                  <c:v>112.28305</c:v>
                </c:pt>
                <c:pt idx="152">
                  <c:v>222.74598</c:v>
                </c:pt>
                <c:pt idx="153">
                  <c:v>118.63903999999999</c:v>
                </c:pt>
                <c:pt idx="154">
                  <c:v>91.47766</c:v>
                </c:pt>
                <c:pt idx="155">
                  <c:v>78.203569999999999</c:v>
                </c:pt>
                <c:pt idx="156">
                  <c:v>56.683950000000003</c:v>
                </c:pt>
                <c:pt idx="157">
                  <c:v>45.845709999999997</c:v>
                </c:pt>
                <c:pt idx="158">
                  <c:v>42.74868</c:v>
                </c:pt>
                <c:pt idx="159">
                  <c:v>43.003149999999998</c:v>
                </c:pt>
                <c:pt idx="160">
                  <c:v>59.444490000000002</c:v>
                </c:pt>
                <c:pt idx="161">
                  <c:v>52.391159999999999</c:v>
                </c:pt>
                <c:pt idx="162">
                  <c:v>46.85407</c:v>
                </c:pt>
                <c:pt idx="163">
                  <c:v>57.772069999999999</c:v>
                </c:pt>
                <c:pt idx="164">
                  <c:v>148.68254999999999</c:v>
                </c:pt>
                <c:pt idx="165">
                  <c:v>77.493799999999993</c:v>
                </c:pt>
                <c:pt idx="166">
                  <c:v>55.52655</c:v>
                </c:pt>
                <c:pt idx="167">
                  <c:v>48.496389999999998</c:v>
                </c:pt>
                <c:pt idx="168">
                  <c:v>19.72287</c:v>
                </c:pt>
                <c:pt idx="169">
                  <c:v>32.840780000000002</c:v>
                </c:pt>
                <c:pt idx="170">
                  <c:v>32.529940000000003</c:v>
                </c:pt>
                <c:pt idx="171">
                  <c:v>26.81813</c:v>
                </c:pt>
                <c:pt idx="172">
                  <c:v>14.807550000000001</c:v>
                </c:pt>
                <c:pt idx="173">
                  <c:v>16.063479999999998</c:v>
                </c:pt>
                <c:pt idx="174">
                  <c:v>16.760300000000001</c:v>
                </c:pt>
                <c:pt idx="175">
                  <c:v>21.252009999999999</c:v>
                </c:pt>
                <c:pt idx="176">
                  <c:v>61.528239999999997</c:v>
                </c:pt>
                <c:pt idx="177">
                  <c:v>72.749099999999999</c:v>
                </c:pt>
                <c:pt idx="178">
                  <c:v>92.545310000000001</c:v>
                </c:pt>
                <c:pt idx="179">
                  <c:v>88.840810000000005</c:v>
                </c:pt>
                <c:pt idx="180">
                  <c:v>65.686790000000002</c:v>
                </c:pt>
                <c:pt idx="181">
                  <c:v>69.190870000000004</c:v>
                </c:pt>
                <c:pt idx="182">
                  <c:v>75.63355</c:v>
                </c:pt>
                <c:pt idx="183">
                  <c:v>62.681539999999998</c:v>
                </c:pt>
                <c:pt idx="184">
                  <c:v>50.54175</c:v>
                </c:pt>
                <c:pt idx="185">
                  <c:v>64.105540000000005</c:v>
                </c:pt>
                <c:pt idx="186">
                  <c:v>61.150649999999999</c:v>
                </c:pt>
                <c:pt idx="187">
                  <c:v>41.393549999999998</c:v>
                </c:pt>
                <c:pt idx="188">
                  <c:v>8.4307999999999996</c:v>
                </c:pt>
                <c:pt idx="189">
                  <c:v>10.70228</c:v>
                </c:pt>
                <c:pt idx="190">
                  <c:v>56.847189999999998</c:v>
                </c:pt>
                <c:pt idx="191">
                  <c:v>59.383949999999999</c:v>
                </c:pt>
                <c:pt idx="192">
                  <c:v>30.685420000000001</c:v>
                </c:pt>
                <c:pt idx="193">
                  <c:v>5.6699200000000003</c:v>
                </c:pt>
                <c:pt idx="194">
                  <c:v>12.24883</c:v>
                </c:pt>
                <c:pt idx="195">
                  <c:v>11.42995</c:v>
                </c:pt>
                <c:pt idx="196">
                  <c:v>1.26494</c:v>
                </c:pt>
                <c:pt idx="197">
                  <c:v>5.7794600000000003</c:v>
                </c:pt>
                <c:pt idx="198">
                  <c:v>57.8277</c:v>
                </c:pt>
                <c:pt idx="199">
                  <c:v>27.415600000000001</c:v>
                </c:pt>
                <c:pt idx="200">
                  <c:v>14.720599999999999</c:v>
                </c:pt>
                <c:pt idx="201">
                  <c:v>17.531400000000001</c:v>
                </c:pt>
                <c:pt idx="202">
                  <c:v>4.4036600000000004</c:v>
                </c:pt>
                <c:pt idx="203">
                  <c:v>10.1014</c:v>
                </c:pt>
                <c:pt idx="204">
                  <c:v>27.507490000000001</c:v>
                </c:pt>
                <c:pt idx="205">
                  <c:v>15.90485</c:v>
                </c:pt>
                <c:pt idx="206">
                  <c:v>11.673360000000001</c:v>
                </c:pt>
                <c:pt idx="207">
                  <c:v>16.969000000000001</c:v>
                </c:pt>
                <c:pt idx="208">
                  <c:v>4.9798900000000001</c:v>
                </c:pt>
                <c:pt idx="209">
                  <c:v>7.3029999999999998E-2</c:v>
                </c:pt>
                <c:pt idx="210">
                  <c:v>5.3085399999999998</c:v>
                </c:pt>
                <c:pt idx="211">
                  <c:v>4.4241999999999999</c:v>
                </c:pt>
                <c:pt idx="212">
                  <c:v>21.18496</c:v>
                </c:pt>
                <c:pt idx="213">
                  <c:v>3.6557900000000001</c:v>
                </c:pt>
                <c:pt idx="214">
                  <c:v>10.096</c:v>
                </c:pt>
                <c:pt idx="215">
                  <c:v>7.3717800000000002</c:v>
                </c:pt>
                <c:pt idx="216">
                  <c:v>116.16827000000001</c:v>
                </c:pt>
                <c:pt idx="217">
                  <c:v>92.147800000000004</c:v>
                </c:pt>
                <c:pt idx="218">
                  <c:v>97.738929999999996</c:v>
                </c:pt>
                <c:pt idx="219">
                  <c:v>131.91435999999999</c:v>
                </c:pt>
                <c:pt idx="220">
                  <c:v>102.8248</c:v>
                </c:pt>
                <c:pt idx="221">
                  <c:v>82.592780000000005</c:v>
                </c:pt>
                <c:pt idx="222">
                  <c:v>76.029470000000003</c:v>
                </c:pt>
                <c:pt idx="223">
                  <c:v>83.914230000000003</c:v>
                </c:pt>
                <c:pt idx="224">
                  <c:v>76.349100000000007</c:v>
                </c:pt>
                <c:pt idx="225">
                  <c:v>83.415890000000005</c:v>
                </c:pt>
                <c:pt idx="226">
                  <c:v>87.768469999999994</c:v>
                </c:pt>
                <c:pt idx="227">
                  <c:v>87.881810000000002</c:v>
                </c:pt>
                <c:pt idx="228">
                  <c:v>77.960220000000007</c:v>
                </c:pt>
                <c:pt idx="229">
                  <c:v>78.640429999999995</c:v>
                </c:pt>
                <c:pt idx="230">
                  <c:v>90.871409999999997</c:v>
                </c:pt>
                <c:pt idx="231">
                  <c:v>91.305549999999997</c:v>
                </c:pt>
                <c:pt idx="232">
                  <c:v>84.636930000000007</c:v>
                </c:pt>
                <c:pt idx="233">
                  <c:v>94.270319999999998</c:v>
                </c:pt>
                <c:pt idx="234">
                  <c:v>94.216189999999997</c:v>
                </c:pt>
                <c:pt idx="235">
                  <c:v>94.436509999999998</c:v>
                </c:pt>
                <c:pt idx="236">
                  <c:v>107.85654</c:v>
                </c:pt>
                <c:pt idx="237">
                  <c:v>106.46590999999999</c:v>
                </c:pt>
                <c:pt idx="238">
                  <c:v>103.42708</c:v>
                </c:pt>
                <c:pt idx="239">
                  <c:v>112.17100000000001</c:v>
                </c:pt>
                <c:pt idx="240">
                  <c:v>56.389429999999997</c:v>
                </c:pt>
                <c:pt idx="241">
                  <c:v>70.882829999999998</c:v>
                </c:pt>
                <c:pt idx="242">
                  <c:v>81.678179999999998</c:v>
                </c:pt>
                <c:pt idx="243">
                  <c:v>84.474879999999999</c:v>
                </c:pt>
                <c:pt idx="244">
                  <c:v>61.109499999999997</c:v>
                </c:pt>
                <c:pt idx="245">
                  <c:v>65.235460000000003</c:v>
                </c:pt>
                <c:pt idx="246">
                  <c:v>74.893500000000003</c:v>
                </c:pt>
                <c:pt idx="247">
                  <c:v>73.564980000000006</c:v>
                </c:pt>
                <c:pt idx="248">
                  <c:v>117.57877999999999</c:v>
                </c:pt>
                <c:pt idx="249">
                  <c:v>90.162790000000001</c:v>
                </c:pt>
                <c:pt idx="250">
                  <c:v>100.05195000000001</c:v>
                </c:pt>
                <c:pt idx="251">
                  <c:v>99.963070000000002</c:v>
                </c:pt>
                <c:pt idx="252">
                  <c:v>127.73645999999999</c:v>
                </c:pt>
                <c:pt idx="253">
                  <c:v>98.210610000000003</c:v>
                </c:pt>
                <c:pt idx="254">
                  <c:v>124.53081</c:v>
                </c:pt>
                <c:pt idx="255">
                  <c:v>114.50241</c:v>
                </c:pt>
                <c:pt idx="256">
                  <c:v>137.65110000000001</c:v>
                </c:pt>
                <c:pt idx="257">
                  <c:v>121.55664</c:v>
                </c:pt>
                <c:pt idx="258">
                  <c:v>117.32579</c:v>
                </c:pt>
                <c:pt idx="259">
                  <c:v>111.1968</c:v>
                </c:pt>
                <c:pt idx="260">
                  <c:v>189.58453</c:v>
                </c:pt>
                <c:pt idx="261">
                  <c:v>153.84084999999999</c:v>
                </c:pt>
                <c:pt idx="262">
                  <c:v>144.93244000000001</c:v>
                </c:pt>
                <c:pt idx="263">
                  <c:v>137.76861</c:v>
                </c:pt>
                <c:pt idx="264">
                  <c:v>137.73835</c:v>
                </c:pt>
                <c:pt idx="265">
                  <c:v>135.83671000000001</c:v>
                </c:pt>
                <c:pt idx="266">
                  <c:v>134.44837000000001</c:v>
                </c:pt>
                <c:pt idx="267">
                  <c:v>133.72269</c:v>
                </c:pt>
                <c:pt idx="268">
                  <c:v>131.62425999999999</c:v>
                </c:pt>
                <c:pt idx="269">
                  <c:v>135.297</c:v>
                </c:pt>
                <c:pt idx="270">
                  <c:v>124.78098</c:v>
                </c:pt>
                <c:pt idx="271">
                  <c:v>128.47317000000001</c:v>
                </c:pt>
                <c:pt idx="272">
                  <c:v>97.017139999999998</c:v>
                </c:pt>
                <c:pt idx="273">
                  <c:v>82.922139999999999</c:v>
                </c:pt>
                <c:pt idx="274">
                  <c:v>113.55029999999999</c:v>
                </c:pt>
                <c:pt idx="275">
                  <c:v>164.42931999999999</c:v>
                </c:pt>
                <c:pt idx="276">
                  <c:v>132.08321000000001</c:v>
                </c:pt>
                <c:pt idx="277">
                  <c:v>131.38740000000001</c:v>
                </c:pt>
                <c:pt idx="278">
                  <c:v>207.87559999999999</c:v>
                </c:pt>
                <c:pt idx="279">
                  <c:v>253.71396999999999</c:v>
                </c:pt>
                <c:pt idx="280">
                  <c:v>85.088089999999994</c:v>
                </c:pt>
                <c:pt idx="281">
                  <c:v>57.432870000000001</c:v>
                </c:pt>
                <c:pt idx="282">
                  <c:v>202.92596</c:v>
                </c:pt>
                <c:pt idx="283">
                  <c:v>229.20357999999999</c:v>
                </c:pt>
                <c:pt idx="284">
                  <c:v>160.60230999999999</c:v>
                </c:pt>
                <c:pt idx="285">
                  <c:v>136.39698999999999</c:v>
                </c:pt>
                <c:pt idx="286">
                  <c:v>140.77937</c:v>
                </c:pt>
                <c:pt idx="287">
                  <c:v>160.54704000000001</c:v>
                </c:pt>
                <c:pt idx="288">
                  <c:v>84.072090000000003</c:v>
                </c:pt>
                <c:pt idx="289">
                  <c:v>81.415940000000006</c:v>
                </c:pt>
                <c:pt idx="290">
                  <c:v>77.682130000000001</c:v>
                </c:pt>
                <c:pt idx="291">
                  <c:v>83.340010000000007</c:v>
                </c:pt>
                <c:pt idx="292">
                  <c:v>66.212320000000005</c:v>
                </c:pt>
                <c:pt idx="293">
                  <c:v>62.616610000000001</c:v>
                </c:pt>
                <c:pt idx="294">
                  <c:v>67.175929999999994</c:v>
                </c:pt>
                <c:pt idx="295">
                  <c:v>48.722859999999997</c:v>
                </c:pt>
                <c:pt idx="296">
                  <c:v>76.124679999999998</c:v>
                </c:pt>
                <c:pt idx="297">
                  <c:v>66.133290000000002</c:v>
                </c:pt>
                <c:pt idx="298">
                  <c:v>58.979750000000003</c:v>
                </c:pt>
                <c:pt idx="299">
                  <c:v>50.91037</c:v>
                </c:pt>
                <c:pt idx="300">
                  <c:v>61.24503</c:v>
                </c:pt>
                <c:pt idx="301">
                  <c:v>59.243499999999997</c:v>
                </c:pt>
                <c:pt idx="302">
                  <c:v>34.954599999999999</c:v>
                </c:pt>
                <c:pt idx="303">
                  <c:v>61.536169999999998</c:v>
                </c:pt>
                <c:pt idx="304">
                  <c:v>64.300560000000004</c:v>
                </c:pt>
                <c:pt idx="305">
                  <c:v>71.694460000000007</c:v>
                </c:pt>
                <c:pt idx="306">
                  <c:v>26.856780000000001</c:v>
                </c:pt>
                <c:pt idx="307">
                  <c:v>36.094149999999999</c:v>
                </c:pt>
                <c:pt idx="308">
                  <c:v>78.042900000000003</c:v>
                </c:pt>
                <c:pt idx="309">
                  <c:v>60.094499999999996</c:v>
                </c:pt>
                <c:pt idx="310">
                  <c:v>68.656760000000006</c:v>
                </c:pt>
                <c:pt idx="311">
                  <c:v>75.410330000000002</c:v>
                </c:pt>
                <c:pt idx="312">
                  <c:v>89.72193</c:v>
                </c:pt>
                <c:pt idx="313">
                  <c:v>53.334650000000003</c:v>
                </c:pt>
                <c:pt idx="314">
                  <c:v>69.321060000000003</c:v>
                </c:pt>
                <c:pt idx="315">
                  <c:v>70.837500000000006</c:v>
                </c:pt>
                <c:pt idx="316">
                  <c:v>56.149509999999999</c:v>
                </c:pt>
                <c:pt idx="317">
                  <c:v>54.201349999999998</c:v>
                </c:pt>
                <c:pt idx="318">
                  <c:v>43.876399999999997</c:v>
                </c:pt>
                <c:pt idx="319">
                  <c:v>48.205889999999997</c:v>
                </c:pt>
                <c:pt idx="320">
                  <c:v>44.61835</c:v>
                </c:pt>
                <c:pt idx="321">
                  <c:v>44.931420000000003</c:v>
                </c:pt>
                <c:pt idx="322">
                  <c:v>42.854239999999997</c:v>
                </c:pt>
                <c:pt idx="323">
                  <c:v>45.624000000000002</c:v>
                </c:pt>
                <c:pt idx="324">
                  <c:v>75.269049999999993</c:v>
                </c:pt>
                <c:pt idx="325">
                  <c:v>53.066330000000001</c:v>
                </c:pt>
                <c:pt idx="326">
                  <c:v>73.821349999999995</c:v>
                </c:pt>
                <c:pt idx="327">
                  <c:v>60.45185</c:v>
                </c:pt>
                <c:pt idx="328">
                  <c:v>29.108129999999999</c:v>
                </c:pt>
                <c:pt idx="329">
                  <c:v>78.230760000000004</c:v>
                </c:pt>
                <c:pt idx="330">
                  <c:v>57.631950000000003</c:v>
                </c:pt>
                <c:pt idx="331">
                  <c:v>57.403779999999998</c:v>
                </c:pt>
                <c:pt idx="332">
                  <c:v>28.54035</c:v>
                </c:pt>
                <c:pt idx="333">
                  <c:v>35.280140000000003</c:v>
                </c:pt>
                <c:pt idx="334">
                  <c:v>11.75619</c:v>
                </c:pt>
                <c:pt idx="335">
                  <c:v>9.7190100000000008</c:v>
                </c:pt>
                <c:pt idx="336">
                  <c:v>9.9977099999999997</c:v>
                </c:pt>
                <c:pt idx="337">
                  <c:v>7.6039500000000002</c:v>
                </c:pt>
                <c:pt idx="338">
                  <c:v>19.61694</c:v>
                </c:pt>
                <c:pt idx="339">
                  <c:v>4.9605300000000003</c:v>
                </c:pt>
                <c:pt idx="340">
                  <c:v>25.571020000000001</c:v>
                </c:pt>
                <c:pt idx="341">
                  <c:v>22.00751</c:v>
                </c:pt>
                <c:pt idx="342">
                  <c:v>4.54467</c:v>
                </c:pt>
                <c:pt idx="343">
                  <c:v>2.7034699999999998</c:v>
                </c:pt>
                <c:pt idx="344">
                  <c:v>32.69988</c:v>
                </c:pt>
                <c:pt idx="345">
                  <c:v>26.90915</c:v>
                </c:pt>
                <c:pt idx="346">
                  <c:v>74.246080000000006</c:v>
                </c:pt>
                <c:pt idx="347">
                  <c:v>37.550359999999998</c:v>
                </c:pt>
                <c:pt idx="348">
                  <c:v>44.1646</c:v>
                </c:pt>
                <c:pt idx="349">
                  <c:v>39.895800000000001</c:v>
                </c:pt>
                <c:pt idx="350">
                  <c:v>35.230530000000002</c:v>
                </c:pt>
                <c:pt idx="351">
                  <c:v>58.976840000000003</c:v>
                </c:pt>
                <c:pt idx="352">
                  <c:v>135.39746</c:v>
                </c:pt>
                <c:pt idx="353">
                  <c:v>93.242310000000003</c:v>
                </c:pt>
                <c:pt idx="354">
                  <c:v>69.915009999999995</c:v>
                </c:pt>
                <c:pt idx="355">
                  <c:v>66.472890000000007</c:v>
                </c:pt>
                <c:pt idx="356">
                  <c:v>111.41641</c:v>
                </c:pt>
                <c:pt idx="357">
                  <c:v>67.667060000000006</c:v>
                </c:pt>
                <c:pt idx="358">
                  <c:v>46.378030000000003</c:v>
                </c:pt>
                <c:pt idx="359">
                  <c:v>14.40597</c:v>
                </c:pt>
                <c:pt idx="360">
                  <c:v>36.617660000000001</c:v>
                </c:pt>
                <c:pt idx="361">
                  <c:v>43.794919999999998</c:v>
                </c:pt>
                <c:pt idx="362">
                  <c:v>75.18683</c:v>
                </c:pt>
                <c:pt idx="363">
                  <c:v>111.75135</c:v>
                </c:pt>
                <c:pt idx="364">
                  <c:v>165.65938</c:v>
                </c:pt>
                <c:pt idx="365">
                  <c:v>114.17738</c:v>
                </c:pt>
                <c:pt idx="366">
                  <c:v>94.055589999999995</c:v>
                </c:pt>
                <c:pt idx="367">
                  <c:v>85.545339999999996</c:v>
                </c:pt>
                <c:pt idx="368">
                  <c:v>55.842930000000003</c:v>
                </c:pt>
                <c:pt idx="369">
                  <c:v>38.160420000000002</c:v>
                </c:pt>
                <c:pt idx="370">
                  <c:v>83.644450000000006</c:v>
                </c:pt>
                <c:pt idx="371">
                  <c:v>109.84356</c:v>
                </c:pt>
                <c:pt idx="372">
                  <c:v>116.72951999999999</c:v>
                </c:pt>
                <c:pt idx="373">
                  <c:v>73.085729999999998</c:v>
                </c:pt>
                <c:pt idx="374">
                  <c:v>85.997320000000002</c:v>
                </c:pt>
                <c:pt idx="375">
                  <c:v>82.526219999999995</c:v>
                </c:pt>
                <c:pt idx="376">
                  <c:v>120.66419</c:v>
                </c:pt>
                <c:pt idx="377">
                  <c:v>133.70394999999999</c:v>
                </c:pt>
                <c:pt idx="378">
                  <c:v>116.96871</c:v>
                </c:pt>
                <c:pt idx="379">
                  <c:v>130.45007000000001</c:v>
                </c:pt>
                <c:pt idx="380">
                  <c:v>141.89758</c:v>
                </c:pt>
                <c:pt idx="381">
                  <c:v>128.37206</c:v>
                </c:pt>
                <c:pt idx="382">
                  <c:v>111.10141</c:v>
                </c:pt>
                <c:pt idx="383">
                  <c:v>125.56966</c:v>
                </c:pt>
                <c:pt idx="384">
                  <c:v>85.179659999999998</c:v>
                </c:pt>
                <c:pt idx="385">
                  <c:v>68.97842</c:v>
                </c:pt>
                <c:pt idx="386">
                  <c:v>66.426590000000004</c:v>
                </c:pt>
                <c:pt idx="387">
                  <c:v>105.46753</c:v>
                </c:pt>
                <c:pt idx="388">
                  <c:v>75.571240000000003</c:v>
                </c:pt>
                <c:pt idx="389">
                  <c:v>40.647739999999999</c:v>
                </c:pt>
                <c:pt idx="390">
                  <c:v>51.2699</c:v>
                </c:pt>
                <c:pt idx="391">
                  <c:v>66.33202</c:v>
                </c:pt>
                <c:pt idx="392">
                  <c:v>67.938829999999996</c:v>
                </c:pt>
                <c:pt idx="393">
                  <c:v>38.338549999999998</c:v>
                </c:pt>
                <c:pt idx="394">
                  <c:v>43.097050000000003</c:v>
                </c:pt>
                <c:pt idx="395">
                  <c:v>79.805539999999993</c:v>
                </c:pt>
                <c:pt idx="396">
                  <c:v>87.364360000000005</c:v>
                </c:pt>
                <c:pt idx="397">
                  <c:v>46.549010000000003</c:v>
                </c:pt>
                <c:pt idx="398">
                  <c:v>63.640309999999999</c:v>
                </c:pt>
                <c:pt idx="399">
                  <c:v>57.372520000000002</c:v>
                </c:pt>
                <c:pt idx="400">
                  <c:v>77.111360000000005</c:v>
                </c:pt>
                <c:pt idx="401">
                  <c:v>59.663209999999999</c:v>
                </c:pt>
                <c:pt idx="402">
                  <c:v>28.175239999999999</c:v>
                </c:pt>
                <c:pt idx="403">
                  <c:v>36.299999999999997</c:v>
                </c:pt>
                <c:pt idx="404">
                  <c:v>35.851759999999999</c:v>
                </c:pt>
                <c:pt idx="405">
                  <c:v>25.36084</c:v>
                </c:pt>
                <c:pt idx="406">
                  <c:v>17.383859999999999</c:v>
                </c:pt>
                <c:pt idx="407">
                  <c:v>45.791069999999998</c:v>
                </c:pt>
                <c:pt idx="408">
                  <c:v>93.59854</c:v>
                </c:pt>
                <c:pt idx="409">
                  <c:v>80.217399999999998</c:v>
                </c:pt>
                <c:pt idx="410">
                  <c:v>46.110900000000001</c:v>
                </c:pt>
                <c:pt idx="411">
                  <c:v>37.979050000000001</c:v>
                </c:pt>
                <c:pt idx="412">
                  <c:v>50.760449999999999</c:v>
                </c:pt>
                <c:pt idx="413">
                  <c:v>80.335989999999995</c:v>
                </c:pt>
                <c:pt idx="414">
                  <c:v>57.422780000000003</c:v>
                </c:pt>
                <c:pt idx="415">
                  <c:v>61.260730000000002</c:v>
                </c:pt>
                <c:pt idx="416">
                  <c:v>35.174869999999999</c:v>
                </c:pt>
                <c:pt idx="417">
                  <c:v>71.799260000000004</c:v>
                </c:pt>
                <c:pt idx="418">
                  <c:v>83.885080000000002</c:v>
                </c:pt>
                <c:pt idx="419">
                  <c:v>125.68944</c:v>
                </c:pt>
                <c:pt idx="420">
                  <c:v>161.75888</c:v>
                </c:pt>
                <c:pt idx="421">
                  <c:v>129.77092999999999</c:v>
                </c:pt>
                <c:pt idx="422">
                  <c:v>117.34335</c:v>
                </c:pt>
                <c:pt idx="423">
                  <c:v>135.45759000000001</c:v>
                </c:pt>
                <c:pt idx="424">
                  <c:v>139.30188999999999</c:v>
                </c:pt>
                <c:pt idx="425">
                  <c:v>109.60467</c:v>
                </c:pt>
                <c:pt idx="426">
                  <c:v>110.14678000000001</c:v>
                </c:pt>
                <c:pt idx="427">
                  <c:v>96.907769999999999</c:v>
                </c:pt>
                <c:pt idx="428">
                  <c:v>86.023899999999998</c:v>
                </c:pt>
                <c:pt idx="429">
                  <c:v>48.128570000000003</c:v>
                </c:pt>
                <c:pt idx="430">
                  <c:v>54.07649</c:v>
                </c:pt>
                <c:pt idx="431">
                  <c:v>57.170830000000002</c:v>
                </c:pt>
                <c:pt idx="432">
                  <c:v>137.80090000000001</c:v>
                </c:pt>
                <c:pt idx="433">
                  <c:v>126.02352</c:v>
                </c:pt>
                <c:pt idx="434">
                  <c:v>113.80522999999999</c:v>
                </c:pt>
                <c:pt idx="435">
                  <c:v>89.495230000000006</c:v>
                </c:pt>
                <c:pt idx="436">
                  <c:v>74.256510000000006</c:v>
                </c:pt>
                <c:pt idx="437">
                  <c:v>75.786029999999997</c:v>
                </c:pt>
                <c:pt idx="438">
                  <c:v>72.360069999999993</c:v>
                </c:pt>
                <c:pt idx="439">
                  <c:v>84.983710000000002</c:v>
                </c:pt>
                <c:pt idx="440">
                  <c:v>157.11179000000001</c:v>
                </c:pt>
                <c:pt idx="441">
                  <c:v>64.913070000000005</c:v>
                </c:pt>
                <c:pt idx="442">
                  <c:v>57.897320000000001</c:v>
                </c:pt>
                <c:pt idx="443">
                  <c:v>47.034140000000001</c:v>
                </c:pt>
                <c:pt idx="444">
                  <c:v>87.543689999999998</c:v>
                </c:pt>
                <c:pt idx="445">
                  <c:v>76.034049999999993</c:v>
                </c:pt>
                <c:pt idx="446">
                  <c:v>66.752120000000005</c:v>
                </c:pt>
                <c:pt idx="447">
                  <c:v>43.989780000000003</c:v>
                </c:pt>
                <c:pt idx="448">
                  <c:v>80.364710000000002</c:v>
                </c:pt>
                <c:pt idx="449">
                  <c:v>73.45326</c:v>
                </c:pt>
                <c:pt idx="450">
                  <c:v>30.679320000000001</c:v>
                </c:pt>
                <c:pt idx="451">
                  <c:v>26.421510000000001</c:v>
                </c:pt>
                <c:pt idx="452">
                  <c:v>101.96845999999999</c:v>
                </c:pt>
                <c:pt idx="453">
                  <c:v>70.532210000000006</c:v>
                </c:pt>
                <c:pt idx="454">
                  <c:v>46.6586</c:v>
                </c:pt>
                <c:pt idx="455">
                  <c:v>25.659020000000002</c:v>
                </c:pt>
                <c:pt idx="456">
                  <c:v>60.510570000000001</c:v>
                </c:pt>
                <c:pt idx="457">
                  <c:v>71.395660000000007</c:v>
                </c:pt>
                <c:pt idx="458">
                  <c:v>72.053579999999997</c:v>
                </c:pt>
                <c:pt idx="459">
                  <c:v>69.336209999999994</c:v>
                </c:pt>
                <c:pt idx="460">
                  <c:v>53.67315</c:v>
                </c:pt>
                <c:pt idx="461">
                  <c:v>52.656750000000002</c:v>
                </c:pt>
                <c:pt idx="462">
                  <c:v>89.031999999999996</c:v>
                </c:pt>
                <c:pt idx="463">
                  <c:v>93.111000000000004</c:v>
                </c:pt>
                <c:pt idx="464">
                  <c:v>58.811660000000003</c:v>
                </c:pt>
                <c:pt idx="465">
                  <c:v>46.301310000000001</c:v>
                </c:pt>
                <c:pt idx="466">
                  <c:v>90.885130000000004</c:v>
                </c:pt>
                <c:pt idx="467">
                  <c:v>97.500079999999997</c:v>
                </c:pt>
                <c:pt idx="468">
                  <c:v>12.44341</c:v>
                </c:pt>
                <c:pt idx="469">
                  <c:v>35.669040000000003</c:v>
                </c:pt>
                <c:pt idx="470">
                  <c:v>39.480339999999998</c:v>
                </c:pt>
                <c:pt idx="471">
                  <c:v>50.419310000000003</c:v>
                </c:pt>
                <c:pt idx="472">
                  <c:v>4.4991899999999996</c:v>
                </c:pt>
                <c:pt idx="473">
                  <c:v>11.16839</c:v>
                </c:pt>
                <c:pt idx="474">
                  <c:v>15.898350000000001</c:v>
                </c:pt>
                <c:pt idx="475">
                  <c:v>35.093110000000003</c:v>
                </c:pt>
                <c:pt idx="476">
                  <c:v>14.990259999999999</c:v>
                </c:pt>
                <c:pt idx="477">
                  <c:v>16.99823</c:v>
                </c:pt>
                <c:pt idx="478">
                  <c:v>5.6174099999999996</c:v>
                </c:pt>
                <c:pt idx="479">
                  <c:v>32.459209999999999</c:v>
                </c:pt>
                <c:pt idx="480">
                  <c:v>34.655149999999999</c:v>
                </c:pt>
                <c:pt idx="481">
                  <c:v>37.91254</c:v>
                </c:pt>
                <c:pt idx="482">
                  <c:v>40.460329999999999</c:v>
                </c:pt>
                <c:pt idx="483">
                  <c:v>41.955849999999998</c:v>
                </c:pt>
                <c:pt idx="484">
                  <c:v>65.313199999999995</c:v>
                </c:pt>
                <c:pt idx="485">
                  <c:v>33.55209</c:v>
                </c:pt>
                <c:pt idx="486">
                  <c:v>33.109439999999999</c:v>
                </c:pt>
                <c:pt idx="487">
                  <c:v>39.624850000000002</c:v>
                </c:pt>
                <c:pt idx="488">
                  <c:v>67.420419999999993</c:v>
                </c:pt>
                <c:pt idx="489">
                  <c:v>57.95655</c:v>
                </c:pt>
                <c:pt idx="490">
                  <c:v>53.526000000000003</c:v>
                </c:pt>
                <c:pt idx="491">
                  <c:v>72.417860000000005</c:v>
                </c:pt>
                <c:pt idx="492">
                  <c:v>76.49973</c:v>
                </c:pt>
                <c:pt idx="493">
                  <c:v>104.67627</c:v>
                </c:pt>
                <c:pt idx="494">
                  <c:v>92.821129999999997</c:v>
                </c:pt>
                <c:pt idx="495">
                  <c:v>98.018870000000007</c:v>
                </c:pt>
                <c:pt idx="496">
                  <c:v>134.38127</c:v>
                </c:pt>
                <c:pt idx="497">
                  <c:v>110.98417000000001</c:v>
                </c:pt>
                <c:pt idx="498">
                  <c:v>95.382580000000004</c:v>
                </c:pt>
                <c:pt idx="499">
                  <c:v>93.951229999999995</c:v>
                </c:pt>
                <c:pt idx="500">
                  <c:v>74.942850000000007</c:v>
                </c:pt>
                <c:pt idx="501">
                  <c:v>56.705550000000002</c:v>
                </c:pt>
                <c:pt idx="502">
                  <c:v>86.143460000000005</c:v>
                </c:pt>
                <c:pt idx="503">
                  <c:v>128.25721999999999</c:v>
                </c:pt>
                <c:pt idx="504">
                  <c:v>61.132660000000001</c:v>
                </c:pt>
                <c:pt idx="505">
                  <c:v>99.892139999999998</c:v>
                </c:pt>
                <c:pt idx="506">
                  <c:v>108.05324</c:v>
                </c:pt>
                <c:pt idx="507">
                  <c:v>93.544970000000006</c:v>
                </c:pt>
                <c:pt idx="508">
                  <c:v>88.245530000000002</c:v>
                </c:pt>
                <c:pt idx="509">
                  <c:v>161.24327</c:v>
                </c:pt>
                <c:pt idx="510">
                  <c:v>186.63215</c:v>
                </c:pt>
                <c:pt idx="511">
                  <c:v>200.19882000000001</c:v>
                </c:pt>
                <c:pt idx="512">
                  <c:v>201.94325000000001</c:v>
                </c:pt>
                <c:pt idx="513">
                  <c:v>175.71406999999999</c:v>
                </c:pt>
                <c:pt idx="514">
                  <c:v>194.34679</c:v>
                </c:pt>
                <c:pt idx="515">
                  <c:v>199.28339</c:v>
                </c:pt>
                <c:pt idx="516">
                  <c:v>173.53142</c:v>
                </c:pt>
                <c:pt idx="517">
                  <c:v>156.09558999999999</c:v>
                </c:pt>
                <c:pt idx="518">
                  <c:v>152.22206</c:v>
                </c:pt>
                <c:pt idx="519">
                  <c:v>173.14998</c:v>
                </c:pt>
                <c:pt idx="520">
                  <c:v>184.82293000000001</c:v>
                </c:pt>
                <c:pt idx="521">
                  <c:v>199.29395</c:v>
                </c:pt>
                <c:pt idx="522">
                  <c:v>173.81068999999999</c:v>
                </c:pt>
                <c:pt idx="523">
                  <c:v>149.81961999999999</c:v>
                </c:pt>
                <c:pt idx="524">
                  <c:v>134.84477999999999</c:v>
                </c:pt>
                <c:pt idx="525">
                  <c:v>150.87629999999999</c:v>
                </c:pt>
                <c:pt idx="526">
                  <c:v>111.87011</c:v>
                </c:pt>
                <c:pt idx="527">
                  <c:v>110.21384999999999</c:v>
                </c:pt>
                <c:pt idx="528">
                  <c:v>53.487409999999997</c:v>
                </c:pt>
                <c:pt idx="529">
                  <c:v>49.583080000000002</c:v>
                </c:pt>
                <c:pt idx="530">
                  <c:v>41.943739999999998</c:v>
                </c:pt>
                <c:pt idx="531">
                  <c:v>41.938760000000002</c:v>
                </c:pt>
                <c:pt idx="532">
                  <c:v>61.44</c:v>
                </c:pt>
                <c:pt idx="533">
                  <c:v>48.244079999999997</c:v>
                </c:pt>
                <c:pt idx="534">
                  <c:v>49.844650000000001</c:v>
                </c:pt>
                <c:pt idx="535">
                  <c:v>57.489460000000001</c:v>
                </c:pt>
                <c:pt idx="536">
                  <c:v>83.53322</c:v>
                </c:pt>
                <c:pt idx="537">
                  <c:v>35.900300000000001</c:v>
                </c:pt>
                <c:pt idx="538">
                  <c:v>35.932200000000002</c:v>
                </c:pt>
                <c:pt idx="539">
                  <c:v>37.091450000000002</c:v>
                </c:pt>
                <c:pt idx="540">
                  <c:v>63.72475</c:v>
                </c:pt>
                <c:pt idx="541">
                  <c:v>32.471130000000002</c:v>
                </c:pt>
                <c:pt idx="542">
                  <c:v>34.192999999999998</c:v>
                </c:pt>
                <c:pt idx="543">
                  <c:v>29.39237</c:v>
                </c:pt>
                <c:pt idx="544">
                  <c:v>65.39922</c:v>
                </c:pt>
                <c:pt idx="545">
                  <c:v>59.824039999999997</c:v>
                </c:pt>
                <c:pt idx="546">
                  <c:v>47.316220000000001</c:v>
                </c:pt>
                <c:pt idx="547">
                  <c:v>37.416469999999997</c:v>
                </c:pt>
                <c:pt idx="548">
                  <c:v>50.701790000000003</c:v>
                </c:pt>
                <c:pt idx="549">
                  <c:v>29.9345</c:v>
                </c:pt>
                <c:pt idx="550">
                  <c:v>32.306510000000003</c:v>
                </c:pt>
                <c:pt idx="551">
                  <c:v>28.934989999999999</c:v>
                </c:pt>
                <c:pt idx="552">
                  <c:v>21.093699999999998</c:v>
                </c:pt>
                <c:pt idx="553">
                  <c:v>19.427769999999999</c:v>
                </c:pt>
                <c:pt idx="554">
                  <c:v>20.05012</c:v>
                </c:pt>
                <c:pt idx="555">
                  <c:v>17.2608</c:v>
                </c:pt>
                <c:pt idx="556">
                  <c:v>16.241969999999998</c:v>
                </c:pt>
                <c:pt idx="557">
                  <c:v>23.971039999999999</c:v>
                </c:pt>
                <c:pt idx="558">
                  <c:v>34.752290000000002</c:v>
                </c:pt>
                <c:pt idx="559">
                  <c:v>32.412599999999998</c:v>
                </c:pt>
                <c:pt idx="560">
                  <c:v>38.524099999999997</c:v>
                </c:pt>
                <c:pt idx="561">
                  <c:v>47.700719999999997</c:v>
                </c:pt>
                <c:pt idx="562">
                  <c:v>47.874839999999999</c:v>
                </c:pt>
                <c:pt idx="563">
                  <c:v>48.260420000000003</c:v>
                </c:pt>
                <c:pt idx="564">
                  <c:v>86.188230000000004</c:v>
                </c:pt>
                <c:pt idx="565">
                  <c:v>87.740849999999995</c:v>
                </c:pt>
                <c:pt idx="566">
                  <c:v>88.436909999999997</c:v>
                </c:pt>
                <c:pt idx="567">
                  <c:v>100.8449</c:v>
                </c:pt>
                <c:pt idx="568">
                  <c:v>63.081119999999999</c:v>
                </c:pt>
                <c:pt idx="569">
                  <c:v>58.81006</c:v>
                </c:pt>
                <c:pt idx="570">
                  <c:v>70.288640000000001</c:v>
                </c:pt>
                <c:pt idx="571">
                  <c:v>78.044359999999998</c:v>
                </c:pt>
                <c:pt idx="572">
                  <c:v>92.11027</c:v>
                </c:pt>
                <c:pt idx="573">
                  <c:v>73.893069999999994</c:v>
                </c:pt>
                <c:pt idx="574">
                  <c:v>79.433589999999995</c:v>
                </c:pt>
                <c:pt idx="575">
                  <c:v>97.989580000000004</c:v>
                </c:pt>
                <c:pt idx="576">
                  <c:v>89.664689999999993</c:v>
                </c:pt>
                <c:pt idx="577">
                  <c:v>57.070929999999997</c:v>
                </c:pt>
                <c:pt idx="578">
                  <c:v>48.126690000000004</c:v>
                </c:pt>
                <c:pt idx="579">
                  <c:v>38.413969999999999</c:v>
                </c:pt>
                <c:pt idx="580">
                  <c:v>23.558620000000001</c:v>
                </c:pt>
                <c:pt idx="581">
                  <c:v>30.55556</c:v>
                </c:pt>
                <c:pt idx="582">
                  <c:v>31.914709999999999</c:v>
                </c:pt>
                <c:pt idx="583">
                  <c:v>31.80611</c:v>
                </c:pt>
                <c:pt idx="584">
                  <c:v>42.960970000000003</c:v>
                </c:pt>
                <c:pt idx="585">
                  <c:v>44.645659999999999</c:v>
                </c:pt>
                <c:pt idx="586">
                  <c:v>22.548200000000001</c:v>
                </c:pt>
                <c:pt idx="587">
                  <c:v>30.318660000000001</c:v>
                </c:pt>
                <c:pt idx="588">
                  <c:v>39.860030000000002</c:v>
                </c:pt>
                <c:pt idx="589">
                  <c:v>32.18242</c:v>
                </c:pt>
                <c:pt idx="590">
                  <c:v>34.938409999999998</c:v>
                </c:pt>
                <c:pt idx="591">
                  <c:v>39.005090000000003</c:v>
                </c:pt>
                <c:pt idx="592">
                  <c:v>41.202100000000002</c:v>
                </c:pt>
                <c:pt idx="593">
                  <c:v>29.555679999999999</c:v>
                </c:pt>
                <c:pt idx="594">
                  <c:v>19.553339999999999</c:v>
                </c:pt>
                <c:pt idx="595">
                  <c:v>26.411259999999999</c:v>
                </c:pt>
                <c:pt idx="596">
                  <c:v>28.437370000000001</c:v>
                </c:pt>
                <c:pt idx="597">
                  <c:v>23.92679</c:v>
                </c:pt>
                <c:pt idx="598">
                  <c:v>26.13862</c:v>
                </c:pt>
                <c:pt idx="599">
                  <c:v>27.02543</c:v>
                </c:pt>
                <c:pt idx="600">
                  <c:v>46.18627</c:v>
                </c:pt>
                <c:pt idx="601">
                  <c:v>30.589929999999999</c:v>
                </c:pt>
                <c:pt idx="602">
                  <c:v>28.28322</c:v>
                </c:pt>
                <c:pt idx="603">
                  <c:v>36.306139999999999</c:v>
                </c:pt>
                <c:pt idx="604">
                  <c:v>46.53237</c:v>
                </c:pt>
                <c:pt idx="605">
                  <c:v>34.786879999999996</c:v>
                </c:pt>
                <c:pt idx="606">
                  <c:v>53.46322</c:v>
                </c:pt>
                <c:pt idx="607">
                  <c:v>63.03884</c:v>
                </c:pt>
                <c:pt idx="608">
                  <c:v>42.81955</c:v>
                </c:pt>
                <c:pt idx="609">
                  <c:v>40.43253</c:v>
                </c:pt>
                <c:pt idx="610">
                  <c:v>39.434130000000003</c:v>
                </c:pt>
                <c:pt idx="611">
                  <c:v>36.946269999999998</c:v>
                </c:pt>
                <c:pt idx="612">
                  <c:v>34.121810000000004</c:v>
                </c:pt>
                <c:pt idx="613">
                  <c:v>47.929470000000002</c:v>
                </c:pt>
                <c:pt idx="614">
                  <c:v>52.646729999999998</c:v>
                </c:pt>
                <c:pt idx="615">
                  <c:v>43.292679999999997</c:v>
                </c:pt>
                <c:pt idx="616">
                  <c:v>88.682320000000004</c:v>
                </c:pt>
                <c:pt idx="617">
                  <c:v>72.123850000000004</c:v>
                </c:pt>
                <c:pt idx="618">
                  <c:v>77.886790000000005</c:v>
                </c:pt>
                <c:pt idx="619">
                  <c:v>46.414819999999999</c:v>
                </c:pt>
                <c:pt idx="620">
                  <c:v>24.465340000000001</c:v>
                </c:pt>
                <c:pt idx="621">
                  <c:v>51.713180000000001</c:v>
                </c:pt>
                <c:pt idx="622">
                  <c:v>37.992570000000001</c:v>
                </c:pt>
                <c:pt idx="623">
                  <c:v>48.927250000000001</c:v>
                </c:pt>
                <c:pt idx="624">
                  <c:v>40.968649999999997</c:v>
                </c:pt>
                <c:pt idx="625">
                  <c:v>52.270560000000003</c:v>
                </c:pt>
                <c:pt idx="626">
                  <c:v>56.570549999999997</c:v>
                </c:pt>
                <c:pt idx="627">
                  <c:v>76.604519999999994</c:v>
                </c:pt>
                <c:pt idx="628">
                  <c:v>60.616610000000001</c:v>
                </c:pt>
                <c:pt idx="629">
                  <c:v>64.980909999999994</c:v>
                </c:pt>
                <c:pt idx="630">
                  <c:v>80.863600000000005</c:v>
                </c:pt>
                <c:pt idx="631">
                  <c:v>79.417720000000003</c:v>
                </c:pt>
                <c:pt idx="632">
                  <c:v>117.02682</c:v>
                </c:pt>
                <c:pt idx="633">
                  <c:v>61.816719999999997</c:v>
                </c:pt>
                <c:pt idx="634">
                  <c:v>63.506019999999999</c:v>
                </c:pt>
                <c:pt idx="635">
                  <c:v>43.606999999999999</c:v>
                </c:pt>
                <c:pt idx="636">
                  <c:v>105.10269</c:v>
                </c:pt>
                <c:pt idx="637">
                  <c:v>48.932290000000002</c:v>
                </c:pt>
                <c:pt idx="638">
                  <c:v>34.42906</c:v>
                </c:pt>
                <c:pt idx="639">
                  <c:v>11.22099</c:v>
                </c:pt>
                <c:pt idx="640">
                  <c:v>70.348060000000004</c:v>
                </c:pt>
                <c:pt idx="641">
                  <c:v>55.287300000000002</c:v>
                </c:pt>
                <c:pt idx="642">
                  <c:v>12.76458</c:v>
                </c:pt>
                <c:pt idx="643">
                  <c:v>1.79131</c:v>
                </c:pt>
                <c:pt idx="644">
                  <c:v>74.328590000000005</c:v>
                </c:pt>
                <c:pt idx="645">
                  <c:v>75.536559999999994</c:v>
                </c:pt>
                <c:pt idx="646">
                  <c:v>60.357579999999999</c:v>
                </c:pt>
                <c:pt idx="647">
                  <c:v>57.881900000000002</c:v>
                </c:pt>
                <c:pt idx="648">
                  <c:v>58.47052</c:v>
                </c:pt>
                <c:pt idx="649">
                  <c:v>64.909260000000003</c:v>
                </c:pt>
                <c:pt idx="650">
                  <c:v>59.089840000000002</c:v>
                </c:pt>
                <c:pt idx="651">
                  <c:v>27.739599999999999</c:v>
                </c:pt>
                <c:pt idx="652">
                  <c:v>24.966419999999999</c:v>
                </c:pt>
                <c:pt idx="653">
                  <c:v>26.644780000000001</c:v>
                </c:pt>
                <c:pt idx="654">
                  <c:v>33.866660000000003</c:v>
                </c:pt>
                <c:pt idx="655">
                  <c:v>34.896459999999998</c:v>
                </c:pt>
                <c:pt idx="656">
                  <c:v>40.521639999999998</c:v>
                </c:pt>
                <c:pt idx="657">
                  <c:v>40.138719999999999</c:v>
                </c:pt>
                <c:pt idx="658">
                  <c:v>31.666440000000001</c:v>
                </c:pt>
                <c:pt idx="659">
                  <c:v>40.932490000000001</c:v>
                </c:pt>
                <c:pt idx="660">
                  <c:v>29.300160000000002</c:v>
                </c:pt>
                <c:pt idx="661">
                  <c:v>34.690130000000003</c:v>
                </c:pt>
                <c:pt idx="662">
                  <c:v>28.40447</c:v>
                </c:pt>
                <c:pt idx="663">
                  <c:v>48.062150000000003</c:v>
                </c:pt>
                <c:pt idx="664">
                  <c:v>25.71508</c:v>
                </c:pt>
                <c:pt idx="665">
                  <c:v>35.434710000000003</c:v>
                </c:pt>
                <c:pt idx="666">
                  <c:v>42.875889999999998</c:v>
                </c:pt>
                <c:pt idx="667">
                  <c:v>43.724919999999997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33.798110000000001</c:v>
                </c:pt>
                <c:pt idx="1">
                  <c:v>11.64452</c:v>
                </c:pt>
                <c:pt idx="2">
                  <c:v>7.1927300000000001</c:v>
                </c:pt>
                <c:pt idx="3">
                  <c:v>20.14151</c:v>
                </c:pt>
                <c:pt idx="4">
                  <c:v>44.104030000000002</c:v>
                </c:pt>
                <c:pt idx="5">
                  <c:v>49.4497</c:v>
                </c:pt>
                <c:pt idx="6">
                  <c:v>67.524720000000002</c:v>
                </c:pt>
                <c:pt idx="7">
                  <c:v>31.767849999999999</c:v>
                </c:pt>
                <c:pt idx="8">
                  <c:v>56.362020000000001</c:v>
                </c:pt>
                <c:pt idx="9">
                  <c:v>48.065159999999999</c:v>
                </c:pt>
                <c:pt idx="10">
                  <c:v>15.86032</c:v>
                </c:pt>
                <c:pt idx="11">
                  <c:v>-2.90164</c:v>
                </c:pt>
                <c:pt idx="12">
                  <c:v>36.346580000000003</c:v>
                </c:pt>
                <c:pt idx="13">
                  <c:v>37.098170000000003</c:v>
                </c:pt>
                <c:pt idx="14">
                  <c:v>20.27233</c:v>
                </c:pt>
                <c:pt idx="15">
                  <c:v>27.752790000000001</c:v>
                </c:pt>
                <c:pt idx="16">
                  <c:v>30.354839999999999</c:v>
                </c:pt>
                <c:pt idx="17">
                  <c:v>48.958979999999997</c:v>
                </c:pt>
                <c:pt idx="18">
                  <c:v>47.964889999999997</c:v>
                </c:pt>
                <c:pt idx="19">
                  <c:v>74.241330000000005</c:v>
                </c:pt>
                <c:pt idx="20">
                  <c:v>58.498309999999996</c:v>
                </c:pt>
                <c:pt idx="21">
                  <c:v>60.833089999999999</c:v>
                </c:pt>
                <c:pt idx="22">
                  <c:v>77.434240000000003</c:v>
                </c:pt>
                <c:pt idx="23">
                  <c:v>94.460769999999997</c:v>
                </c:pt>
                <c:pt idx="24">
                  <c:v>80.487530000000007</c:v>
                </c:pt>
                <c:pt idx="25">
                  <c:v>84.175420000000003</c:v>
                </c:pt>
                <c:pt idx="26">
                  <c:v>89.641469999999998</c:v>
                </c:pt>
                <c:pt idx="27">
                  <c:v>97.811440000000005</c:v>
                </c:pt>
                <c:pt idx="28">
                  <c:v>121.42941999999999</c:v>
                </c:pt>
                <c:pt idx="29">
                  <c:v>66.759609999999995</c:v>
                </c:pt>
                <c:pt idx="30">
                  <c:v>54.353990000000003</c:v>
                </c:pt>
                <c:pt idx="31">
                  <c:v>72.569720000000004</c:v>
                </c:pt>
                <c:pt idx="32">
                  <c:v>141.28805</c:v>
                </c:pt>
                <c:pt idx="33">
                  <c:v>112.22937</c:v>
                </c:pt>
                <c:pt idx="34">
                  <c:v>112.8032</c:v>
                </c:pt>
                <c:pt idx="35">
                  <c:v>62.142449999999997</c:v>
                </c:pt>
                <c:pt idx="36">
                  <c:v>118.73023000000001</c:v>
                </c:pt>
                <c:pt idx="37">
                  <c:v>105.76227</c:v>
                </c:pt>
                <c:pt idx="38">
                  <c:v>73.487380000000002</c:v>
                </c:pt>
                <c:pt idx="39">
                  <c:v>53.055869999999999</c:v>
                </c:pt>
                <c:pt idx="40">
                  <c:v>73.230630000000005</c:v>
                </c:pt>
                <c:pt idx="41">
                  <c:v>86.661940000000001</c:v>
                </c:pt>
                <c:pt idx="42">
                  <c:v>75.167630000000003</c:v>
                </c:pt>
                <c:pt idx="43">
                  <c:v>35.964669999999998</c:v>
                </c:pt>
                <c:pt idx="44">
                  <c:v>104.06074</c:v>
                </c:pt>
                <c:pt idx="45">
                  <c:v>83.185820000000007</c:v>
                </c:pt>
                <c:pt idx="46">
                  <c:v>85.287660000000002</c:v>
                </c:pt>
                <c:pt idx="47">
                  <c:v>65.949650000000005</c:v>
                </c:pt>
                <c:pt idx="48">
                  <c:v>115.65737</c:v>
                </c:pt>
                <c:pt idx="49">
                  <c:v>83.993350000000007</c:v>
                </c:pt>
                <c:pt idx="50">
                  <c:v>64.990039999999993</c:v>
                </c:pt>
                <c:pt idx="51">
                  <c:v>35.356619999999999</c:v>
                </c:pt>
                <c:pt idx="52">
                  <c:v>89.73245</c:v>
                </c:pt>
                <c:pt idx="53">
                  <c:v>91.453199999999995</c:v>
                </c:pt>
                <c:pt idx="54">
                  <c:v>118.44405</c:v>
                </c:pt>
                <c:pt idx="55">
                  <c:v>119.73305999999999</c:v>
                </c:pt>
                <c:pt idx="56">
                  <c:v>50.645090000000003</c:v>
                </c:pt>
                <c:pt idx="57">
                  <c:v>90.282830000000004</c:v>
                </c:pt>
                <c:pt idx="58">
                  <c:v>117.23309</c:v>
                </c:pt>
                <c:pt idx="59">
                  <c:v>144.13598999999999</c:v>
                </c:pt>
                <c:pt idx="60">
                  <c:v>14.822010000000001</c:v>
                </c:pt>
                <c:pt idx="61">
                  <c:v>81.749690000000001</c:v>
                </c:pt>
                <c:pt idx="62">
                  <c:v>137.54996</c:v>
                </c:pt>
                <c:pt idx="63">
                  <c:v>182.83063000000001</c:v>
                </c:pt>
                <c:pt idx="64">
                  <c:v>27.095610000000001</c:v>
                </c:pt>
                <c:pt idx="65">
                  <c:v>96.324749999999995</c:v>
                </c:pt>
                <c:pt idx="66">
                  <c:v>173.02189999999999</c:v>
                </c:pt>
                <c:pt idx="67">
                  <c:v>202.63129000000001</c:v>
                </c:pt>
                <c:pt idx="68">
                  <c:v>40.559370000000001</c:v>
                </c:pt>
                <c:pt idx="69">
                  <c:v>50.282530000000001</c:v>
                </c:pt>
                <c:pt idx="70">
                  <c:v>120.31952</c:v>
                </c:pt>
                <c:pt idx="71">
                  <c:v>188.56148999999999</c:v>
                </c:pt>
                <c:pt idx="72">
                  <c:v>41.792090000000002</c:v>
                </c:pt>
                <c:pt idx="73">
                  <c:v>71.877489999999995</c:v>
                </c:pt>
                <c:pt idx="74">
                  <c:v>53.687910000000002</c:v>
                </c:pt>
                <c:pt idx="75">
                  <c:v>39.129399999999997</c:v>
                </c:pt>
                <c:pt idx="76">
                  <c:v>37.938899999999997</c:v>
                </c:pt>
                <c:pt idx="77">
                  <c:v>28.10529</c:v>
                </c:pt>
                <c:pt idx="78">
                  <c:v>-1.8084100000000001</c:v>
                </c:pt>
                <c:pt idx="79">
                  <c:v>-15.731400000000001</c:v>
                </c:pt>
                <c:pt idx="80">
                  <c:v>17.463180000000001</c:v>
                </c:pt>
                <c:pt idx="81">
                  <c:v>0.82669000000000004</c:v>
                </c:pt>
                <c:pt idx="82">
                  <c:v>-26.257560000000002</c:v>
                </c:pt>
                <c:pt idx="83">
                  <c:v>-68.278970000000001</c:v>
                </c:pt>
                <c:pt idx="84">
                  <c:v>17.819769999999998</c:v>
                </c:pt>
                <c:pt idx="85">
                  <c:v>-3.6516199999999999</c:v>
                </c:pt>
                <c:pt idx="86">
                  <c:v>-40.172420000000002</c:v>
                </c:pt>
                <c:pt idx="87">
                  <c:v>-77.298519999999996</c:v>
                </c:pt>
                <c:pt idx="88">
                  <c:v>25.858989999999999</c:v>
                </c:pt>
                <c:pt idx="89">
                  <c:v>1.5492699999999999</c:v>
                </c:pt>
                <c:pt idx="90">
                  <c:v>-52.000610000000002</c:v>
                </c:pt>
                <c:pt idx="91">
                  <c:v>-75.527889999999999</c:v>
                </c:pt>
                <c:pt idx="92">
                  <c:v>9.0821199999999997</c:v>
                </c:pt>
                <c:pt idx="93">
                  <c:v>-26.485610000000001</c:v>
                </c:pt>
                <c:pt idx="94">
                  <c:v>-76.04213</c:v>
                </c:pt>
                <c:pt idx="95">
                  <c:v>-97.487309999999994</c:v>
                </c:pt>
                <c:pt idx="96">
                  <c:v>-17.73611</c:v>
                </c:pt>
                <c:pt idx="97">
                  <c:v>-3.48237</c:v>
                </c:pt>
                <c:pt idx="98">
                  <c:v>-23.099969999999999</c:v>
                </c:pt>
                <c:pt idx="99">
                  <c:v>-22.623709999999999</c:v>
                </c:pt>
                <c:pt idx="100">
                  <c:v>39.378509999999999</c:v>
                </c:pt>
                <c:pt idx="101">
                  <c:v>39.708660000000002</c:v>
                </c:pt>
                <c:pt idx="102">
                  <c:v>30.539619999999999</c:v>
                </c:pt>
                <c:pt idx="103">
                  <c:v>59.644269999999999</c:v>
                </c:pt>
                <c:pt idx="104">
                  <c:v>34.78763</c:v>
                </c:pt>
                <c:pt idx="105">
                  <c:v>66.309190000000001</c:v>
                </c:pt>
                <c:pt idx="106">
                  <c:v>82.516689999999997</c:v>
                </c:pt>
                <c:pt idx="107">
                  <c:v>69.640749999999997</c:v>
                </c:pt>
                <c:pt idx="108">
                  <c:v>62.336219999999997</c:v>
                </c:pt>
                <c:pt idx="109">
                  <c:v>74.671329999999998</c:v>
                </c:pt>
                <c:pt idx="110">
                  <c:v>75.548119999999997</c:v>
                </c:pt>
                <c:pt idx="111">
                  <c:v>58.019950000000001</c:v>
                </c:pt>
                <c:pt idx="112">
                  <c:v>29.415019999999998</c:v>
                </c:pt>
                <c:pt idx="113">
                  <c:v>67.278509999999997</c:v>
                </c:pt>
                <c:pt idx="114">
                  <c:v>99.559550000000002</c:v>
                </c:pt>
                <c:pt idx="115">
                  <c:v>128.01536999999999</c:v>
                </c:pt>
                <c:pt idx="116">
                  <c:v>112.94949</c:v>
                </c:pt>
                <c:pt idx="117">
                  <c:v>131.07844</c:v>
                </c:pt>
                <c:pt idx="118">
                  <c:v>143.75099</c:v>
                </c:pt>
                <c:pt idx="119">
                  <c:v>152.51241999999999</c:v>
                </c:pt>
                <c:pt idx="120">
                  <c:v>63.07996</c:v>
                </c:pt>
                <c:pt idx="121">
                  <c:v>143.50278</c:v>
                </c:pt>
                <c:pt idx="122">
                  <c:v>215.67517000000001</c:v>
                </c:pt>
                <c:pt idx="123">
                  <c:v>231.8913</c:v>
                </c:pt>
                <c:pt idx="124">
                  <c:v>155.90898000000001</c:v>
                </c:pt>
                <c:pt idx="125">
                  <c:v>190.03969000000001</c:v>
                </c:pt>
                <c:pt idx="126">
                  <c:v>213.74394000000001</c:v>
                </c:pt>
                <c:pt idx="127">
                  <c:v>231.18852999999999</c:v>
                </c:pt>
                <c:pt idx="128">
                  <c:v>250.89091999999999</c:v>
                </c:pt>
                <c:pt idx="129">
                  <c:v>254.19919999999999</c:v>
                </c:pt>
                <c:pt idx="130">
                  <c:v>263.86601000000002</c:v>
                </c:pt>
                <c:pt idx="131">
                  <c:v>252.65110999999999</c:v>
                </c:pt>
                <c:pt idx="132">
                  <c:v>302.15915999999999</c:v>
                </c:pt>
                <c:pt idx="133">
                  <c:v>304.97068999999999</c:v>
                </c:pt>
                <c:pt idx="134">
                  <c:v>283.98919000000001</c:v>
                </c:pt>
                <c:pt idx="135">
                  <c:v>240.86639</c:v>
                </c:pt>
                <c:pt idx="136">
                  <c:v>253.78482</c:v>
                </c:pt>
                <c:pt idx="137">
                  <c:v>247.17103</c:v>
                </c:pt>
                <c:pt idx="138">
                  <c:v>192.40966</c:v>
                </c:pt>
                <c:pt idx="139">
                  <c:v>178.94807</c:v>
                </c:pt>
                <c:pt idx="140">
                  <c:v>163.32867999999999</c:v>
                </c:pt>
                <c:pt idx="141">
                  <c:v>150.11718999999999</c:v>
                </c:pt>
                <c:pt idx="142">
                  <c:v>143.37124</c:v>
                </c:pt>
                <c:pt idx="143">
                  <c:v>151.26647</c:v>
                </c:pt>
                <c:pt idx="144">
                  <c:v>72.341589999999997</c:v>
                </c:pt>
                <c:pt idx="145">
                  <c:v>66.483990000000006</c:v>
                </c:pt>
                <c:pt idx="146">
                  <c:v>50.113329999999998</c:v>
                </c:pt>
                <c:pt idx="147">
                  <c:v>28.496400000000001</c:v>
                </c:pt>
                <c:pt idx="148">
                  <c:v>22.096489999999999</c:v>
                </c:pt>
                <c:pt idx="149">
                  <c:v>15.06452</c:v>
                </c:pt>
                <c:pt idx="150">
                  <c:v>11.16305</c:v>
                </c:pt>
                <c:pt idx="151">
                  <c:v>-4.3548099999999996</c:v>
                </c:pt>
                <c:pt idx="152">
                  <c:v>-37.463000000000001</c:v>
                </c:pt>
                <c:pt idx="153">
                  <c:v>48.026870000000002</c:v>
                </c:pt>
                <c:pt idx="154">
                  <c:v>70.113770000000002</c:v>
                </c:pt>
                <c:pt idx="155">
                  <c:v>132.31772000000001</c:v>
                </c:pt>
                <c:pt idx="156">
                  <c:v>104.45077999999999</c:v>
                </c:pt>
                <c:pt idx="157">
                  <c:v>111.12123</c:v>
                </c:pt>
                <c:pt idx="158">
                  <c:v>129.34922</c:v>
                </c:pt>
                <c:pt idx="159">
                  <c:v>151.50851</c:v>
                </c:pt>
                <c:pt idx="160">
                  <c:v>102.93797000000001</c:v>
                </c:pt>
                <c:pt idx="161">
                  <c:v>102.37989</c:v>
                </c:pt>
                <c:pt idx="162">
                  <c:v>136.81413000000001</c:v>
                </c:pt>
                <c:pt idx="163">
                  <c:v>159.16459</c:v>
                </c:pt>
                <c:pt idx="164">
                  <c:v>8.0379799999999992</c:v>
                </c:pt>
                <c:pt idx="165">
                  <c:v>77.841340000000002</c:v>
                </c:pt>
                <c:pt idx="166">
                  <c:v>170.90332000000001</c:v>
                </c:pt>
                <c:pt idx="167">
                  <c:v>217.28380000000001</c:v>
                </c:pt>
                <c:pt idx="168">
                  <c:v>167.40401</c:v>
                </c:pt>
                <c:pt idx="169">
                  <c:v>170.00783999999999</c:v>
                </c:pt>
                <c:pt idx="170">
                  <c:v>175.97781000000001</c:v>
                </c:pt>
                <c:pt idx="171">
                  <c:v>189.04246000000001</c:v>
                </c:pt>
                <c:pt idx="172">
                  <c:v>224.92542</c:v>
                </c:pt>
                <c:pt idx="173">
                  <c:v>224.36635999999999</c:v>
                </c:pt>
                <c:pt idx="174">
                  <c:v>216.80822000000001</c:v>
                </c:pt>
                <c:pt idx="175">
                  <c:v>196.88514000000001</c:v>
                </c:pt>
                <c:pt idx="176">
                  <c:v>219.33589000000001</c:v>
                </c:pt>
                <c:pt idx="177">
                  <c:v>175.87737000000001</c:v>
                </c:pt>
                <c:pt idx="178">
                  <c:v>131.75539000000001</c:v>
                </c:pt>
                <c:pt idx="179">
                  <c:v>80.376140000000007</c:v>
                </c:pt>
                <c:pt idx="180">
                  <c:v>167.10526999999999</c:v>
                </c:pt>
                <c:pt idx="181">
                  <c:v>126.18187</c:v>
                </c:pt>
                <c:pt idx="182">
                  <c:v>60.982880000000002</c:v>
                </c:pt>
                <c:pt idx="183">
                  <c:v>53.498530000000002</c:v>
                </c:pt>
                <c:pt idx="184">
                  <c:v>193.42948000000001</c:v>
                </c:pt>
                <c:pt idx="185">
                  <c:v>188.15808000000001</c:v>
                </c:pt>
                <c:pt idx="186">
                  <c:v>159.94025999999999</c:v>
                </c:pt>
                <c:pt idx="187">
                  <c:v>148.63712000000001</c:v>
                </c:pt>
                <c:pt idx="188">
                  <c:v>241.739</c:v>
                </c:pt>
                <c:pt idx="189">
                  <c:v>232.28899000000001</c:v>
                </c:pt>
                <c:pt idx="190">
                  <c:v>197.84818999999999</c:v>
                </c:pt>
                <c:pt idx="191">
                  <c:v>155.62951000000001</c:v>
                </c:pt>
                <c:pt idx="192">
                  <c:v>58.456940000000003</c:v>
                </c:pt>
                <c:pt idx="193">
                  <c:v>170.29546999999999</c:v>
                </c:pt>
                <c:pt idx="194">
                  <c:v>154.06135</c:v>
                </c:pt>
                <c:pt idx="195">
                  <c:v>132.23819</c:v>
                </c:pt>
                <c:pt idx="196">
                  <c:v>205.32454000000001</c:v>
                </c:pt>
                <c:pt idx="197">
                  <c:v>224.65672000000001</c:v>
                </c:pt>
                <c:pt idx="198">
                  <c:v>185.30857</c:v>
                </c:pt>
                <c:pt idx="199">
                  <c:v>187.93938</c:v>
                </c:pt>
                <c:pt idx="200">
                  <c:v>208.29974999999999</c:v>
                </c:pt>
                <c:pt idx="201">
                  <c:v>189.37219999999999</c:v>
                </c:pt>
                <c:pt idx="202">
                  <c:v>197.03332</c:v>
                </c:pt>
                <c:pt idx="203">
                  <c:v>193.42412999999999</c:v>
                </c:pt>
                <c:pt idx="204">
                  <c:v>191.42973000000001</c:v>
                </c:pt>
                <c:pt idx="205">
                  <c:v>166.17705000000001</c:v>
                </c:pt>
                <c:pt idx="206">
                  <c:v>174.42518000000001</c:v>
                </c:pt>
                <c:pt idx="207">
                  <c:v>155.81029000000001</c:v>
                </c:pt>
                <c:pt idx="208">
                  <c:v>123.72213000000001</c:v>
                </c:pt>
                <c:pt idx="209">
                  <c:v>147.27415999999999</c:v>
                </c:pt>
                <c:pt idx="210">
                  <c:v>179.12504000000001</c:v>
                </c:pt>
                <c:pt idx="211">
                  <c:v>186.16629</c:v>
                </c:pt>
                <c:pt idx="212">
                  <c:v>163.77324999999999</c:v>
                </c:pt>
                <c:pt idx="213">
                  <c:v>242.19452000000001</c:v>
                </c:pt>
                <c:pt idx="214">
                  <c:v>224.22130000000001</c:v>
                </c:pt>
                <c:pt idx="215">
                  <c:v>211.28648000000001</c:v>
                </c:pt>
                <c:pt idx="216">
                  <c:v>155.93794</c:v>
                </c:pt>
                <c:pt idx="217">
                  <c:v>225.21243000000001</c:v>
                </c:pt>
                <c:pt idx="218">
                  <c:v>284.04340999999999</c:v>
                </c:pt>
                <c:pt idx="219">
                  <c:v>191.78808000000001</c:v>
                </c:pt>
                <c:pt idx="220">
                  <c:v>98.825620000000001</c:v>
                </c:pt>
                <c:pt idx="221">
                  <c:v>127.12621</c:v>
                </c:pt>
                <c:pt idx="222">
                  <c:v>155.63151999999999</c:v>
                </c:pt>
                <c:pt idx="223">
                  <c:v>124.71593</c:v>
                </c:pt>
                <c:pt idx="224">
                  <c:v>151.68421000000001</c:v>
                </c:pt>
                <c:pt idx="225">
                  <c:v>149.29455999999999</c:v>
                </c:pt>
                <c:pt idx="226">
                  <c:v>143.98661000000001</c:v>
                </c:pt>
                <c:pt idx="227">
                  <c:v>139.37703999999999</c:v>
                </c:pt>
                <c:pt idx="228">
                  <c:v>143.24056999999999</c:v>
                </c:pt>
                <c:pt idx="229">
                  <c:v>149.32552000000001</c:v>
                </c:pt>
                <c:pt idx="230">
                  <c:v>100.44553999999999</c:v>
                </c:pt>
                <c:pt idx="231">
                  <c:v>95.422460000000001</c:v>
                </c:pt>
                <c:pt idx="232">
                  <c:v>155.88037</c:v>
                </c:pt>
                <c:pt idx="233">
                  <c:v>132.40085999999999</c:v>
                </c:pt>
                <c:pt idx="234">
                  <c:v>93.919910000000002</c:v>
                </c:pt>
                <c:pt idx="235">
                  <c:v>72.052589999999995</c:v>
                </c:pt>
                <c:pt idx="236">
                  <c:v>121.23667</c:v>
                </c:pt>
                <c:pt idx="237">
                  <c:v>123.30283</c:v>
                </c:pt>
                <c:pt idx="238">
                  <c:v>128.92192</c:v>
                </c:pt>
                <c:pt idx="239">
                  <c:v>111.04638</c:v>
                </c:pt>
                <c:pt idx="240">
                  <c:v>169.69683000000001</c:v>
                </c:pt>
                <c:pt idx="241">
                  <c:v>168.73362</c:v>
                </c:pt>
                <c:pt idx="242">
                  <c:v>156.21863999999999</c:v>
                </c:pt>
                <c:pt idx="243">
                  <c:v>142.07167000000001</c:v>
                </c:pt>
                <c:pt idx="244">
                  <c:v>167.48155</c:v>
                </c:pt>
                <c:pt idx="245">
                  <c:v>148.74453</c:v>
                </c:pt>
                <c:pt idx="246">
                  <c:v>135.80816999999999</c:v>
                </c:pt>
                <c:pt idx="247">
                  <c:v>114.46548</c:v>
                </c:pt>
                <c:pt idx="248">
                  <c:v>117.7119</c:v>
                </c:pt>
                <c:pt idx="249">
                  <c:v>152.47852</c:v>
                </c:pt>
                <c:pt idx="250">
                  <c:v>170.68573000000001</c:v>
                </c:pt>
                <c:pt idx="251">
                  <c:v>173.98452</c:v>
                </c:pt>
                <c:pt idx="252">
                  <c:v>118.81525999999999</c:v>
                </c:pt>
                <c:pt idx="253">
                  <c:v>141.52152000000001</c:v>
                </c:pt>
                <c:pt idx="254">
                  <c:v>127.10720000000001</c:v>
                </c:pt>
                <c:pt idx="255">
                  <c:v>128.34404000000001</c:v>
                </c:pt>
                <c:pt idx="256">
                  <c:v>55.863460000000003</c:v>
                </c:pt>
                <c:pt idx="257">
                  <c:v>62.863799999999998</c:v>
                </c:pt>
                <c:pt idx="258">
                  <c:v>46.97334</c:v>
                </c:pt>
                <c:pt idx="259">
                  <c:v>72.822900000000004</c:v>
                </c:pt>
                <c:pt idx="260">
                  <c:v>-67.371949999999998</c:v>
                </c:pt>
                <c:pt idx="261">
                  <c:v>-7.6061199999999998</c:v>
                </c:pt>
                <c:pt idx="262">
                  <c:v>13.479939999999999</c:v>
                </c:pt>
                <c:pt idx="263">
                  <c:v>77.955020000000005</c:v>
                </c:pt>
                <c:pt idx="264">
                  <c:v>22.645060000000001</c:v>
                </c:pt>
                <c:pt idx="265">
                  <c:v>24.123860000000001</c:v>
                </c:pt>
                <c:pt idx="266">
                  <c:v>20.937360000000002</c:v>
                </c:pt>
                <c:pt idx="267">
                  <c:v>20.593869999999999</c:v>
                </c:pt>
                <c:pt idx="268">
                  <c:v>28.886199999999999</c:v>
                </c:pt>
                <c:pt idx="269">
                  <c:v>6.3575900000000001</c:v>
                </c:pt>
                <c:pt idx="270">
                  <c:v>15.862830000000001</c:v>
                </c:pt>
                <c:pt idx="271">
                  <c:v>-3.6251199999999999</c:v>
                </c:pt>
                <c:pt idx="272">
                  <c:v>70.679280000000006</c:v>
                </c:pt>
                <c:pt idx="273">
                  <c:v>26.879069999999999</c:v>
                </c:pt>
                <c:pt idx="274">
                  <c:v>-9.3134399999999999</c:v>
                </c:pt>
                <c:pt idx="275">
                  <c:v>-52.543729999999996</c:v>
                </c:pt>
                <c:pt idx="276">
                  <c:v>42.705480000000001</c:v>
                </c:pt>
                <c:pt idx="277">
                  <c:v>29.731960000000001</c:v>
                </c:pt>
                <c:pt idx="278">
                  <c:v>-30.26953</c:v>
                </c:pt>
                <c:pt idx="279">
                  <c:v>-79.793859999999995</c:v>
                </c:pt>
                <c:pt idx="280">
                  <c:v>169.19597999999999</c:v>
                </c:pt>
                <c:pt idx="281">
                  <c:v>150.51746</c:v>
                </c:pt>
                <c:pt idx="282">
                  <c:v>1.0277099999999999</c:v>
                </c:pt>
                <c:pt idx="283">
                  <c:v>-30.230060000000002</c:v>
                </c:pt>
                <c:pt idx="284">
                  <c:v>81.029910000000001</c:v>
                </c:pt>
                <c:pt idx="285">
                  <c:v>57.171370000000003</c:v>
                </c:pt>
                <c:pt idx="286">
                  <c:v>17.70712</c:v>
                </c:pt>
                <c:pt idx="287">
                  <c:v>-30.895810000000001</c:v>
                </c:pt>
                <c:pt idx="288">
                  <c:v>-37.036560000000001</c:v>
                </c:pt>
                <c:pt idx="289">
                  <c:v>-38.383180000000003</c:v>
                </c:pt>
                <c:pt idx="290">
                  <c:v>-40.275030000000001</c:v>
                </c:pt>
                <c:pt idx="291">
                  <c:v>-43.20187</c:v>
                </c:pt>
                <c:pt idx="292">
                  <c:v>39.312289999999997</c:v>
                </c:pt>
                <c:pt idx="293">
                  <c:v>67.234080000000006</c:v>
                </c:pt>
                <c:pt idx="294">
                  <c:v>71.739750000000001</c:v>
                </c:pt>
                <c:pt idx="295">
                  <c:v>54.220849999999999</c:v>
                </c:pt>
                <c:pt idx="296">
                  <c:v>41.124830000000003</c:v>
                </c:pt>
                <c:pt idx="297">
                  <c:v>40.28613</c:v>
                </c:pt>
                <c:pt idx="298">
                  <c:v>18.78004</c:v>
                </c:pt>
                <c:pt idx="299">
                  <c:v>18.056280000000001</c:v>
                </c:pt>
                <c:pt idx="300">
                  <c:v>22.760349999999999</c:v>
                </c:pt>
                <c:pt idx="301">
                  <c:v>20.748699999999999</c:v>
                </c:pt>
                <c:pt idx="302">
                  <c:v>14.90048</c:v>
                </c:pt>
                <c:pt idx="303">
                  <c:v>31.277280000000001</c:v>
                </c:pt>
                <c:pt idx="304">
                  <c:v>29.610060000000001</c:v>
                </c:pt>
                <c:pt idx="305">
                  <c:v>22.150539999999999</c:v>
                </c:pt>
                <c:pt idx="306">
                  <c:v>29.95438</c:v>
                </c:pt>
                <c:pt idx="307">
                  <c:v>62.859160000000003</c:v>
                </c:pt>
                <c:pt idx="308">
                  <c:v>-8.0420599999999993</c:v>
                </c:pt>
                <c:pt idx="309">
                  <c:v>10.730409999999999</c:v>
                </c:pt>
                <c:pt idx="310">
                  <c:v>24.539560000000002</c:v>
                </c:pt>
                <c:pt idx="311">
                  <c:v>37.863700000000001</c:v>
                </c:pt>
                <c:pt idx="312">
                  <c:v>45.690159999999999</c:v>
                </c:pt>
                <c:pt idx="313">
                  <c:v>35.008760000000002</c:v>
                </c:pt>
                <c:pt idx="314">
                  <c:v>47.872529999999998</c:v>
                </c:pt>
                <c:pt idx="315">
                  <c:v>65.041020000000003</c:v>
                </c:pt>
                <c:pt idx="316">
                  <c:v>60.510260000000002</c:v>
                </c:pt>
                <c:pt idx="317">
                  <c:v>46.634030000000003</c:v>
                </c:pt>
                <c:pt idx="318">
                  <c:v>56.807259999999999</c:v>
                </c:pt>
                <c:pt idx="319">
                  <c:v>53.114249999999998</c:v>
                </c:pt>
                <c:pt idx="320">
                  <c:v>158.68432999999999</c:v>
                </c:pt>
                <c:pt idx="321">
                  <c:v>173.88462000000001</c:v>
                </c:pt>
                <c:pt idx="322">
                  <c:v>142.65017</c:v>
                </c:pt>
                <c:pt idx="323">
                  <c:v>137.48271</c:v>
                </c:pt>
                <c:pt idx="324">
                  <c:v>107.33242</c:v>
                </c:pt>
                <c:pt idx="325">
                  <c:v>160.2414</c:v>
                </c:pt>
                <c:pt idx="326">
                  <c:v>144.76910000000001</c:v>
                </c:pt>
                <c:pt idx="327">
                  <c:v>145.31161</c:v>
                </c:pt>
                <c:pt idx="328">
                  <c:v>158.70062999999999</c:v>
                </c:pt>
                <c:pt idx="329">
                  <c:v>141.71010000000001</c:v>
                </c:pt>
                <c:pt idx="330">
                  <c:v>150.49433999999999</c:v>
                </c:pt>
                <c:pt idx="331">
                  <c:v>160.81653</c:v>
                </c:pt>
                <c:pt idx="332">
                  <c:v>135.62860000000001</c:v>
                </c:pt>
                <c:pt idx="333">
                  <c:v>151.31983</c:v>
                </c:pt>
                <c:pt idx="334">
                  <c:v>168.75478000000001</c:v>
                </c:pt>
                <c:pt idx="335">
                  <c:v>182.20597000000001</c:v>
                </c:pt>
                <c:pt idx="336">
                  <c:v>186.55241000000001</c:v>
                </c:pt>
                <c:pt idx="337">
                  <c:v>201.73150000000001</c:v>
                </c:pt>
                <c:pt idx="338">
                  <c:v>207.23034999999999</c:v>
                </c:pt>
                <c:pt idx="339">
                  <c:v>215.38477</c:v>
                </c:pt>
                <c:pt idx="340">
                  <c:v>210.50596999999999</c:v>
                </c:pt>
                <c:pt idx="341">
                  <c:v>196.93741</c:v>
                </c:pt>
                <c:pt idx="342">
                  <c:v>201.44489999999999</c:v>
                </c:pt>
                <c:pt idx="343">
                  <c:v>213.28381999999999</c:v>
                </c:pt>
                <c:pt idx="344">
                  <c:v>205.99029999999999</c:v>
                </c:pt>
                <c:pt idx="345">
                  <c:v>215.88408999999999</c:v>
                </c:pt>
                <c:pt idx="346">
                  <c:v>179.50689</c:v>
                </c:pt>
                <c:pt idx="347">
                  <c:v>161.26333</c:v>
                </c:pt>
                <c:pt idx="348">
                  <c:v>75.469480000000004</c:v>
                </c:pt>
                <c:pt idx="349">
                  <c:v>133.37383</c:v>
                </c:pt>
                <c:pt idx="350">
                  <c:v>161.14801</c:v>
                </c:pt>
                <c:pt idx="351">
                  <c:v>186.85366999999999</c:v>
                </c:pt>
                <c:pt idx="352">
                  <c:v>52.349429999999998</c:v>
                </c:pt>
                <c:pt idx="353">
                  <c:v>43.438839999999999</c:v>
                </c:pt>
                <c:pt idx="354">
                  <c:v>103.22801</c:v>
                </c:pt>
                <c:pt idx="355">
                  <c:v>131.98192</c:v>
                </c:pt>
                <c:pt idx="356">
                  <c:v>3.1827100000000002</c:v>
                </c:pt>
                <c:pt idx="357">
                  <c:v>46.336689999999997</c:v>
                </c:pt>
                <c:pt idx="358">
                  <c:v>107.73587000000001</c:v>
                </c:pt>
                <c:pt idx="359">
                  <c:v>176.16355999999999</c:v>
                </c:pt>
                <c:pt idx="360">
                  <c:v>155.20278999999999</c:v>
                </c:pt>
                <c:pt idx="361">
                  <c:v>139.52545000000001</c:v>
                </c:pt>
                <c:pt idx="362">
                  <c:v>119.85312999999999</c:v>
                </c:pt>
                <c:pt idx="363">
                  <c:v>91.148700000000005</c:v>
                </c:pt>
                <c:pt idx="364">
                  <c:v>10.05523</c:v>
                </c:pt>
                <c:pt idx="365">
                  <c:v>80.364279999999994</c:v>
                </c:pt>
                <c:pt idx="366">
                  <c:v>94.631529999999998</c:v>
                </c:pt>
                <c:pt idx="367">
                  <c:v>86.895650000000003</c:v>
                </c:pt>
                <c:pt idx="368">
                  <c:v>145.13283000000001</c:v>
                </c:pt>
                <c:pt idx="369">
                  <c:v>161.18680000000001</c:v>
                </c:pt>
                <c:pt idx="370">
                  <c:v>73.611620000000002</c:v>
                </c:pt>
                <c:pt idx="371">
                  <c:v>72.503380000000007</c:v>
                </c:pt>
                <c:pt idx="372">
                  <c:v>192.49987999999999</c:v>
                </c:pt>
                <c:pt idx="373">
                  <c:v>185.65922</c:v>
                </c:pt>
                <c:pt idx="374">
                  <c:v>106.40181</c:v>
                </c:pt>
                <c:pt idx="375">
                  <c:v>88.677390000000003</c:v>
                </c:pt>
                <c:pt idx="376">
                  <c:v>64.572050000000004</c:v>
                </c:pt>
                <c:pt idx="377">
                  <c:v>79.589039999999997</c:v>
                </c:pt>
                <c:pt idx="378">
                  <c:v>62.875459999999997</c:v>
                </c:pt>
                <c:pt idx="379">
                  <c:v>37.23366</c:v>
                </c:pt>
                <c:pt idx="380">
                  <c:v>91.016959999999997</c:v>
                </c:pt>
                <c:pt idx="381">
                  <c:v>29.091570000000001</c:v>
                </c:pt>
                <c:pt idx="382">
                  <c:v>6.8338700000000001</c:v>
                </c:pt>
                <c:pt idx="383">
                  <c:v>-38.959829999999997</c:v>
                </c:pt>
                <c:pt idx="384">
                  <c:v>-52.165909999999997</c:v>
                </c:pt>
                <c:pt idx="385">
                  <c:v>-57.030439999999999</c:v>
                </c:pt>
                <c:pt idx="386">
                  <c:v>-65.016559999999998</c:v>
                </c:pt>
                <c:pt idx="387">
                  <c:v>-91.630480000000006</c:v>
                </c:pt>
                <c:pt idx="388">
                  <c:v>47.76585</c:v>
                </c:pt>
                <c:pt idx="389">
                  <c:v>63.291829999999997</c:v>
                </c:pt>
                <c:pt idx="390">
                  <c:v>49.409059999999997</c:v>
                </c:pt>
                <c:pt idx="391">
                  <c:v>45.504080000000002</c:v>
                </c:pt>
                <c:pt idx="392">
                  <c:v>50.870559999999998</c:v>
                </c:pt>
                <c:pt idx="393">
                  <c:v>62.435270000000003</c:v>
                </c:pt>
                <c:pt idx="394">
                  <c:v>42.23536</c:v>
                </c:pt>
                <c:pt idx="395">
                  <c:v>11.194430000000001</c:v>
                </c:pt>
                <c:pt idx="396">
                  <c:v>33.631010000000003</c:v>
                </c:pt>
                <c:pt idx="397">
                  <c:v>70.138919999999999</c:v>
                </c:pt>
                <c:pt idx="398">
                  <c:v>25.46189</c:v>
                </c:pt>
                <c:pt idx="399">
                  <c:v>40.74297</c:v>
                </c:pt>
                <c:pt idx="400">
                  <c:v>12.069900000000001</c:v>
                </c:pt>
                <c:pt idx="401">
                  <c:v>46.474150000000002</c:v>
                </c:pt>
                <c:pt idx="402">
                  <c:v>68.701499999999996</c:v>
                </c:pt>
                <c:pt idx="403">
                  <c:v>85.074690000000004</c:v>
                </c:pt>
                <c:pt idx="404">
                  <c:v>65.967510000000004</c:v>
                </c:pt>
                <c:pt idx="405">
                  <c:v>72.199079999999995</c:v>
                </c:pt>
                <c:pt idx="406">
                  <c:v>80.569739999999996</c:v>
                </c:pt>
                <c:pt idx="407">
                  <c:v>108.34943</c:v>
                </c:pt>
                <c:pt idx="408">
                  <c:v>5.5293299999999999</c:v>
                </c:pt>
                <c:pt idx="409">
                  <c:v>79.442840000000004</c:v>
                </c:pt>
                <c:pt idx="410">
                  <c:v>118.83664</c:v>
                </c:pt>
                <c:pt idx="411">
                  <c:v>106.48038</c:v>
                </c:pt>
                <c:pt idx="412">
                  <c:v>108.63181</c:v>
                </c:pt>
                <c:pt idx="413">
                  <c:v>100.0427</c:v>
                </c:pt>
                <c:pt idx="414">
                  <c:v>65.309550000000002</c:v>
                </c:pt>
                <c:pt idx="415">
                  <c:v>43.752189999999999</c:v>
                </c:pt>
                <c:pt idx="416">
                  <c:v>149.64981</c:v>
                </c:pt>
                <c:pt idx="417">
                  <c:v>87.138400000000004</c:v>
                </c:pt>
                <c:pt idx="418">
                  <c:v>72.53828</c:v>
                </c:pt>
                <c:pt idx="419">
                  <c:v>48.532330000000002</c:v>
                </c:pt>
                <c:pt idx="420">
                  <c:v>55.908799999999999</c:v>
                </c:pt>
                <c:pt idx="421">
                  <c:v>53.508180000000003</c:v>
                </c:pt>
                <c:pt idx="422">
                  <c:v>38.282029999999999</c:v>
                </c:pt>
                <c:pt idx="423">
                  <c:v>-9.5523600000000002</c:v>
                </c:pt>
                <c:pt idx="424">
                  <c:v>60.212220000000002</c:v>
                </c:pt>
                <c:pt idx="425">
                  <c:v>59.824289999999998</c:v>
                </c:pt>
                <c:pt idx="426">
                  <c:v>70.567319999999995</c:v>
                </c:pt>
                <c:pt idx="427">
                  <c:v>51.36938</c:v>
                </c:pt>
                <c:pt idx="428">
                  <c:v>87.515550000000005</c:v>
                </c:pt>
                <c:pt idx="429">
                  <c:v>89.550449999999998</c:v>
                </c:pt>
                <c:pt idx="430">
                  <c:v>78.164519999999996</c:v>
                </c:pt>
                <c:pt idx="431">
                  <c:v>58.32246</c:v>
                </c:pt>
                <c:pt idx="432">
                  <c:v>20.66451</c:v>
                </c:pt>
                <c:pt idx="433">
                  <c:v>22.126380000000001</c:v>
                </c:pt>
                <c:pt idx="434">
                  <c:v>60.313470000000002</c:v>
                </c:pt>
                <c:pt idx="435">
                  <c:v>54.337290000000003</c:v>
                </c:pt>
                <c:pt idx="436">
                  <c:v>60.436340000000001</c:v>
                </c:pt>
                <c:pt idx="437">
                  <c:v>69.288079999999994</c:v>
                </c:pt>
                <c:pt idx="438">
                  <c:v>74.95147</c:v>
                </c:pt>
                <c:pt idx="439">
                  <c:v>70.715819999999994</c:v>
                </c:pt>
                <c:pt idx="440">
                  <c:v>14.34815</c:v>
                </c:pt>
                <c:pt idx="441">
                  <c:v>65.259699999999995</c:v>
                </c:pt>
                <c:pt idx="442">
                  <c:v>91.31241</c:v>
                </c:pt>
                <c:pt idx="443">
                  <c:v>87.338530000000006</c:v>
                </c:pt>
                <c:pt idx="444">
                  <c:v>-19.74034</c:v>
                </c:pt>
                <c:pt idx="445">
                  <c:v>-4.7570199999999998</c:v>
                </c:pt>
                <c:pt idx="446">
                  <c:v>30.910720000000001</c:v>
                </c:pt>
                <c:pt idx="447">
                  <c:v>84.657399999999996</c:v>
                </c:pt>
                <c:pt idx="448">
                  <c:v>2.6551</c:v>
                </c:pt>
                <c:pt idx="449">
                  <c:v>-20.498999999999999</c:v>
                </c:pt>
                <c:pt idx="450">
                  <c:v>58.970410000000001</c:v>
                </c:pt>
                <c:pt idx="451">
                  <c:v>96.956729999999993</c:v>
                </c:pt>
                <c:pt idx="452">
                  <c:v>-20.609819999999999</c:v>
                </c:pt>
                <c:pt idx="453">
                  <c:v>20.51211</c:v>
                </c:pt>
                <c:pt idx="454">
                  <c:v>58.32808</c:v>
                </c:pt>
                <c:pt idx="455">
                  <c:v>109.28385</c:v>
                </c:pt>
                <c:pt idx="456">
                  <c:v>108.15705</c:v>
                </c:pt>
                <c:pt idx="457">
                  <c:v>26.766580000000001</c:v>
                </c:pt>
                <c:pt idx="458">
                  <c:v>44.621450000000003</c:v>
                </c:pt>
                <c:pt idx="459">
                  <c:v>44.35772</c:v>
                </c:pt>
                <c:pt idx="460">
                  <c:v>47.354779999999998</c:v>
                </c:pt>
                <c:pt idx="461">
                  <c:v>37.603720000000003</c:v>
                </c:pt>
                <c:pt idx="462">
                  <c:v>40.733980000000003</c:v>
                </c:pt>
                <c:pt idx="463">
                  <c:v>29.200690000000002</c:v>
                </c:pt>
                <c:pt idx="464">
                  <c:v>61.04786</c:v>
                </c:pt>
                <c:pt idx="465">
                  <c:v>33.160519999999998</c:v>
                </c:pt>
                <c:pt idx="466">
                  <c:v>17.957090000000001</c:v>
                </c:pt>
                <c:pt idx="467">
                  <c:v>-40.18224</c:v>
                </c:pt>
                <c:pt idx="468">
                  <c:v>78.008089999999996</c:v>
                </c:pt>
                <c:pt idx="469">
                  <c:v>54.493969999999997</c:v>
                </c:pt>
                <c:pt idx="470">
                  <c:v>15.60154</c:v>
                </c:pt>
                <c:pt idx="471">
                  <c:v>-29.660620000000002</c:v>
                </c:pt>
                <c:pt idx="472">
                  <c:v>73.058700000000002</c:v>
                </c:pt>
                <c:pt idx="473">
                  <c:v>100.87407</c:v>
                </c:pt>
                <c:pt idx="474">
                  <c:v>45.31073</c:v>
                </c:pt>
                <c:pt idx="475">
                  <c:v>18.733709999999999</c:v>
                </c:pt>
                <c:pt idx="476">
                  <c:v>124.5665</c:v>
                </c:pt>
                <c:pt idx="477">
                  <c:v>100.3904</c:v>
                </c:pt>
                <c:pt idx="478">
                  <c:v>91.842789999999994</c:v>
                </c:pt>
                <c:pt idx="479">
                  <c:v>68.637739999999994</c:v>
                </c:pt>
                <c:pt idx="480">
                  <c:v>6.3512399999999998</c:v>
                </c:pt>
                <c:pt idx="481">
                  <c:v>0.49048999999999998</c:v>
                </c:pt>
                <c:pt idx="482">
                  <c:v>-23.704029999999999</c:v>
                </c:pt>
                <c:pt idx="483">
                  <c:v>-30.049130000000002</c:v>
                </c:pt>
                <c:pt idx="484">
                  <c:v>-4.2980900000000002</c:v>
                </c:pt>
                <c:pt idx="485">
                  <c:v>-4.0084200000000001</c:v>
                </c:pt>
                <c:pt idx="486">
                  <c:v>-13.13123</c:v>
                </c:pt>
                <c:pt idx="487">
                  <c:v>-28.15746</c:v>
                </c:pt>
                <c:pt idx="488">
                  <c:v>-20.929400000000001</c:v>
                </c:pt>
                <c:pt idx="489">
                  <c:v>-25.147749999999998</c:v>
                </c:pt>
                <c:pt idx="490">
                  <c:v>-44.217309999999998</c:v>
                </c:pt>
                <c:pt idx="491">
                  <c:v>-68.575019999999995</c:v>
                </c:pt>
                <c:pt idx="492">
                  <c:v>-61.262999999999998</c:v>
                </c:pt>
                <c:pt idx="493">
                  <c:v>-75.689160000000001</c:v>
                </c:pt>
                <c:pt idx="494">
                  <c:v>-69.063270000000003</c:v>
                </c:pt>
                <c:pt idx="495">
                  <c:v>-79.58578</c:v>
                </c:pt>
                <c:pt idx="496">
                  <c:v>-113.57393</c:v>
                </c:pt>
                <c:pt idx="497">
                  <c:v>-80.392570000000006</c:v>
                </c:pt>
                <c:pt idx="498">
                  <c:v>-45.022179999999999</c:v>
                </c:pt>
                <c:pt idx="499">
                  <c:v>-52.137709999999998</c:v>
                </c:pt>
                <c:pt idx="500">
                  <c:v>-22.60763</c:v>
                </c:pt>
                <c:pt idx="501">
                  <c:v>-9.7550799999999995</c:v>
                </c:pt>
                <c:pt idx="502">
                  <c:v>-35.444809999999997</c:v>
                </c:pt>
                <c:pt idx="503">
                  <c:v>-35.544370000000001</c:v>
                </c:pt>
                <c:pt idx="504">
                  <c:v>-17.567799999999998</c:v>
                </c:pt>
                <c:pt idx="505">
                  <c:v>-43.41028</c:v>
                </c:pt>
                <c:pt idx="506">
                  <c:v>-38.21819</c:v>
                </c:pt>
                <c:pt idx="507">
                  <c:v>-53.498829999999998</c:v>
                </c:pt>
                <c:pt idx="508">
                  <c:v>-59.843130000000002</c:v>
                </c:pt>
                <c:pt idx="509">
                  <c:v>-121.73988</c:v>
                </c:pt>
                <c:pt idx="510">
                  <c:v>-128.71458999999999</c:v>
                </c:pt>
                <c:pt idx="511">
                  <c:v>-158.99080000000001</c:v>
                </c:pt>
                <c:pt idx="512">
                  <c:v>-149.96831</c:v>
                </c:pt>
                <c:pt idx="513">
                  <c:v>-135.15042</c:v>
                </c:pt>
                <c:pt idx="514">
                  <c:v>-144.2826</c:v>
                </c:pt>
                <c:pt idx="515">
                  <c:v>-143.70552000000001</c:v>
                </c:pt>
                <c:pt idx="516">
                  <c:v>-105.44504000000001</c:v>
                </c:pt>
                <c:pt idx="517">
                  <c:v>-109.31516000000001</c:v>
                </c:pt>
                <c:pt idx="518">
                  <c:v>-111.61593000000001</c:v>
                </c:pt>
                <c:pt idx="519">
                  <c:v>-133.17271</c:v>
                </c:pt>
                <c:pt idx="520">
                  <c:v>-168.31111000000001</c:v>
                </c:pt>
                <c:pt idx="521">
                  <c:v>-132.17850000000001</c:v>
                </c:pt>
                <c:pt idx="522">
                  <c:v>-122.82017999999999</c:v>
                </c:pt>
                <c:pt idx="523">
                  <c:v>-88.666269999999997</c:v>
                </c:pt>
                <c:pt idx="524">
                  <c:v>-113.94453</c:v>
                </c:pt>
                <c:pt idx="525">
                  <c:v>-87.5137</c:v>
                </c:pt>
                <c:pt idx="526">
                  <c:v>-58.078519999999997</c:v>
                </c:pt>
                <c:pt idx="527">
                  <c:v>-59.711480000000002</c:v>
                </c:pt>
                <c:pt idx="528">
                  <c:v>-6.45749</c:v>
                </c:pt>
                <c:pt idx="529">
                  <c:v>6.8180899999999998</c:v>
                </c:pt>
                <c:pt idx="530">
                  <c:v>52.285510000000002</c:v>
                </c:pt>
                <c:pt idx="531">
                  <c:v>30.119219999999999</c:v>
                </c:pt>
                <c:pt idx="532">
                  <c:v>13.36881</c:v>
                </c:pt>
                <c:pt idx="533">
                  <c:v>-13.92414</c:v>
                </c:pt>
                <c:pt idx="534">
                  <c:v>-22.093440000000001</c:v>
                </c:pt>
                <c:pt idx="535">
                  <c:v>-30.71988</c:v>
                </c:pt>
                <c:pt idx="536">
                  <c:v>0.49553000000000003</c:v>
                </c:pt>
                <c:pt idx="537">
                  <c:v>25.008469999999999</c:v>
                </c:pt>
                <c:pt idx="538">
                  <c:v>7.1091800000000003</c:v>
                </c:pt>
                <c:pt idx="539">
                  <c:v>12.99769</c:v>
                </c:pt>
                <c:pt idx="540">
                  <c:v>9.9116900000000001</c:v>
                </c:pt>
                <c:pt idx="541">
                  <c:v>22.888110000000001</c:v>
                </c:pt>
                <c:pt idx="542">
                  <c:v>49.190089999999998</c:v>
                </c:pt>
                <c:pt idx="543">
                  <c:v>84.293710000000004</c:v>
                </c:pt>
                <c:pt idx="544">
                  <c:v>25.07321</c:v>
                </c:pt>
                <c:pt idx="545">
                  <c:v>30.0564</c:v>
                </c:pt>
                <c:pt idx="546">
                  <c:v>72.619450000000001</c:v>
                </c:pt>
                <c:pt idx="547">
                  <c:v>102.36552</c:v>
                </c:pt>
                <c:pt idx="548">
                  <c:v>69.856859999999998</c:v>
                </c:pt>
                <c:pt idx="549">
                  <c:v>67.362399999999994</c:v>
                </c:pt>
                <c:pt idx="550">
                  <c:v>112.41018</c:v>
                </c:pt>
                <c:pt idx="551">
                  <c:v>134.44443999999999</c:v>
                </c:pt>
                <c:pt idx="552">
                  <c:v>108.13055</c:v>
                </c:pt>
                <c:pt idx="553">
                  <c:v>126.54273000000001</c:v>
                </c:pt>
                <c:pt idx="554">
                  <c:v>111.03115</c:v>
                </c:pt>
                <c:pt idx="555">
                  <c:v>93.042640000000006</c:v>
                </c:pt>
                <c:pt idx="556">
                  <c:v>192.72712999999999</c:v>
                </c:pt>
                <c:pt idx="557">
                  <c:v>175.01589999999999</c:v>
                </c:pt>
                <c:pt idx="558">
                  <c:v>133.80234999999999</c:v>
                </c:pt>
                <c:pt idx="559">
                  <c:v>137.17603</c:v>
                </c:pt>
                <c:pt idx="560">
                  <c:v>214.96937</c:v>
                </c:pt>
                <c:pt idx="561">
                  <c:v>174.35772</c:v>
                </c:pt>
                <c:pt idx="562">
                  <c:v>155.03057000000001</c:v>
                </c:pt>
                <c:pt idx="563">
                  <c:v>138.9736</c:v>
                </c:pt>
                <c:pt idx="564">
                  <c:v>136.62394</c:v>
                </c:pt>
                <c:pt idx="565">
                  <c:v>139.60033000000001</c:v>
                </c:pt>
                <c:pt idx="566">
                  <c:v>120.5637</c:v>
                </c:pt>
                <c:pt idx="567">
                  <c:v>91.556979999999996</c:v>
                </c:pt>
                <c:pt idx="568">
                  <c:v>116.37940999999999</c:v>
                </c:pt>
                <c:pt idx="569">
                  <c:v>162.82007999999999</c:v>
                </c:pt>
                <c:pt idx="570">
                  <c:v>161.18706</c:v>
                </c:pt>
                <c:pt idx="571">
                  <c:v>153.96530999999999</c:v>
                </c:pt>
                <c:pt idx="572">
                  <c:v>228.56665000000001</c:v>
                </c:pt>
                <c:pt idx="573">
                  <c:v>177.57445000000001</c:v>
                </c:pt>
                <c:pt idx="574">
                  <c:v>163.92339999999999</c:v>
                </c:pt>
                <c:pt idx="575">
                  <c:v>129.99977000000001</c:v>
                </c:pt>
                <c:pt idx="576">
                  <c:v>-25.876760000000001</c:v>
                </c:pt>
                <c:pt idx="577">
                  <c:v>66.043009999999995</c:v>
                </c:pt>
                <c:pt idx="578">
                  <c:v>31.949729999999999</c:v>
                </c:pt>
                <c:pt idx="579">
                  <c:v>59.75582</c:v>
                </c:pt>
                <c:pt idx="580">
                  <c:v>149.17740000000001</c:v>
                </c:pt>
                <c:pt idx="581">
                  <c:v>134.44077999999999</c:v>
                </c:pt>
                <c:pt idx="582">
                  <c:v>111.70599</c:v>
                </c:pt>
                <c:pt idx="583">
                  <c:v>120.21538</c:v>
                </c:pt>
                <c:pt idx="584">
                  <c:v>137.39227</c:v>
                </c:pt>
                <c:pt idx="585">
                  <c:v>103.57047</c:v>
                </c:pt>
                <c:pt idx="586">
                  <c:v>114.08318</c:v>
                </c:pt>
                <c:pt idx="587">
                  <c:v>102.36784</c:v>
                </c:pt>
                <c:pt idx="588">
                  <c:v>121.96749</c:v>
                </c:pt>
                <c:pt idx="589">
                  <c:v>118.40201</c:v>
                </c:pt>
                <c:pt idx="590">
                  <c:v>116.08261</c:v>
                </c:pt>
                <c:pt idx="591">
                  <c:v>104.22792</c:v>
                </c:pt>
                <c:pt idx="592">
                  <c:v>96.125119999999995</c:v>
                </c:pt>
                <c:pt idx="593">
                  <c:v>109.36243</c:v>
                </c:pt>
                <c:pt idx="594">
                  <c:v>119.08125</c:v>
                </c:pt>
                <c:pt idx="595">
                  <c:v>121.76712000000001</c:v>
                </c:pt>
                <c:pt idx="596">
                  <c:v>85.878839999999997</c:v>
                </c:pt>
                <c:pt idx="597">
                  <c:v>115.70972</c:v>
                </c:pt>
                <c:pt idx="598">
                  <c:v>104.50985</c:v>
                </c:pt>
                <c:pt idx="599">
                  <c:v>70.969710000000006</c:v>
                </c:pt>
                <c:pt idx="600">
                  <c:v>32.884480000000003</c:v>
                </c:pt>
                <c:pt idx="601">
                  <c:v>61.918590000000002</c:v>
                </c:pt>
                <c:pt idx="602">
                  <c:v>61.810560000000002</c:v>
                </c:pt>
                <c:pt idx="603">
                  <c:v>43.614550000000001</c:v>
                </c:pt>
                <c:pt idx="604">
                  <c:v>57.635069999999999</c:v>
                </c:pt>
                <c:pt idx="605">
                  <c:v>29.779309999999999</c:v>
                </c:pt>
                <c:pt idx="606">
                  <c:v>8.7282799999999998</c:v>
                </c:pt>
                <c:pt idx="607">
                  <c:v>8.1981599999999997</c:v>
                </c:pt>
                <c:pt idx="608">
                  <c:v>87.29983</c:v>
                </c:pt>
                <c:pt idx="609">
                  <c:v>84.627809999999997</c:v>
                </c:pt>
                <c:pt idx="610">
                  <c:v>62.194130000000001</c:v>
                </c:pt>
                <c:pt idx="611">
                  <c:v>75.313119999999998</c:v>
                </c:pt>
                <c:pt idx="612">
                  <c:v>58.845939999999999</c:v>
                </c:pt>
                <c:pt idx="613">
                  <c:v>17.779509999999998</c:v>
                </c:pt>
                <c:pt idx="614">
                  <c:v>22.76491</c:v>
                </c:pt>
                <c:pt idx="615">
                  <c:v>24.211089999999999</c:v>
                </c:pt>
                <c:pt idx="616">
                  <c:v>-14.363709999999999</c:v>
                </c:pt>
                <c:pt idx="617">
                  <c:v>1.7802500000000001</c:v>
                </c:pt>
                <c:pt idx="618">
                  <c:v>17.988430000000001</c:v>
                </c:pt>
                <c:pt idx="619">
                  <c:v>91.553269999999998</c:v>
                </c:pt>
                <c:pt idx="620">
                  <c:v>66.755300000000005</c:v>
                </c:pt>
                <c:pt idx="621">
                  <c:v>83.095849999999999</c:v>
                </c:pt>
                <c:pt idx="622">
                  <c:v>83.749690000000001</c:v>
                </c:pt>
                <c:pt idx="623">
                  <c:v>75.29786</c:v>
                </c:pt>
                <c:pt idx="624">
                  <c:v>60.172710000000002</c:v>
                </c:pt>
                <c:pt idx="625">
                  <c:v>57.328519999999997</c:v>
                </c:pt>
                <c:pt idx="626">
                  <c:v>35.017180000000003</c:v>
                </c:pt>
                <c:pt idx="627">
                  <c:v>21.979780000000002</c:v>
                </c:pt>
                <c:pt idx="628">
                  <c:v>49.779629999999997</c:v>
                </c:pt>
                <c:pt idx="629">
                  <c:v>13.706519999999999</c:v>
                </c:pt>
                <c:pt idx="630">
                  <c:v>15.78731</c:v>
                </c:pt>
                <c:pt idx="631">
                  <c:v>26.955860000000001</c:v>
                </c:pt>
                <c:pt idx="632">
                  <c:v>-0.82252999999999998</c:v>
                </c:pt>
                <c:pt idx="633">
                  <c:v>40.033430000000003</c:v>
                </c:pt>
                <c:pt idx="634">
                  <c:v>46.548169999999999</c:v>
                </c:pt>
                <c:pt idx="635">
                  <c:v>95.572519999999997</c:v>
                </c:pt>
                <c:pt idx="636">
                  <c:v>33.7943</c:v>
                </c:pt>
                <c:pt idx="637">
                  <c:v>55.743960000000001</c:v>
                </c:pt>
                <c:pt idx="638">
                  <c:v>83.962969999999999</c:v>
                </c:pt>
                <c:pt idx="639">
                  <c:v>138.61859000000001</c:v>
                </c:pt>
                <c:pt idx="640">
                  <c:v>28.690619999999999</c:v>
                </c:pt>
                <c:pt idx="641">
                  <c:v>37.869979999999998</c:v>
                </c:pt>
                <c:pt idx="642">
                  <c:v>81.934089999999998</c:v>
                </c:pt>
                <c:pt idx="643">
                  <c:v>156.0401</c:v>
                </c:pt>
                <c:pt idx="644">
                  <c:v>19.944839999999999</c:v>
                </c:pt>
                <c:pt idx="645">
                  <c:v>23.060649999999999</c:v>
                </c:pt>
                <c:pt idx="646">
                  <c:v>131.50309999999999</c:v>
                </c:pt>
                <c:pt idx="647">
                  <c:v>194.31949</c:v>
                </c:pt>
                <c:pt idx="648">
                  <c:v>192.67801</c:v>
                </c:pt>
                <c:pt idx="649">
                  <c:v>96.977519999999998</c:v>
                </c:pt>
                <c:pt idx="650">
                  <c:v>109.31144999999999</c:v>
                </c:pt>
                <c:pt idx="651">
                  <c:v>135.07397</c:v>
                </c:pt>
                <c:pt idx="652">
                  <c:v>214.80159</c:v>
                </c:pt>
                <c:pt idx="653">
                  <c:v>183.90797000000001</c:v>
                </c:pt>
                <c:pt idx="654">
                  <c:v>172.53744</c:v>
                </c:pt>
                <c:pt idx="655">
                  <c:v>167.9308</c:v>
                </c:pt>
                <c:pt idx="656">
                  <c:v>233.66091</c:v>
                </c:pt>
                <c:pt idx="657">
                  <c:v>213.30216999999999</c:v>
                </c:pt>
                <c:pt idx="658">
                  <c:v>207.30251000000001</c:v>
                </c:pt>
                <c:pt idx="659">
                  <c:v>181.21939</c:v>
                </c:pt>
                <c:pt idx="660">
                  <c:v>267.18824999999998</c:v>
                </c:pt>
                <c:pt idx="661">
                  <c:v>238.04868999999999</c:v>
                </c:pt>
                <c:pt idx="662">
                  <c:v>205.00219999999999</c:v>
                </c:pt>
                <c:pt idx="663">
                  <c:v>145.07653999999999</c:v>
                </c:pt>
                <c:pt idx="664">
                  <c:v>213.91327999999999</c:v>
                </c:pt>
                <c:pt idx="665">
                  <c:v>154.40815000000001</c:v>
                </c:pt>
                <c:pt idx="666">
                  <c:v>87.793000000000006</c:v>
                </c:pt>
                <c:pt idx="667">
                  <c:v>59.694000000000003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  <c:pt idx="668">
                  <c:v>44633.958333333336</c:v>
                </c:pt>
                <c:pt idx="669">
                  <c:v>44633.96875</c:v>
                </c:pt>
                <c:pt idx="670">
                  <c:v>44633.979166666664</c:v>
                </c:pt>
                <c:pt idx="671">
                  <c:v>44633.989583333336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324.16000000000003</c:v>
                </c:pt>
                <c:pt idx="1">
                  <c:v>424.36</c:v>
                </c:pt>
                <c:pt idx="2">
                  <c:v>422.36</c:v>
                </c:pt>
                <c:pt idx="3">
                  <c:v>422.36</c:v>
                </c:pt>
                <c:pt idx="4">
                  <c:v>304.89</c:v>
                </c:pt>
                <c:pt idx="5">
                  <c:v>303.89999999999998</c:v>
                </c:pt>
                <c:pt idx="6">
                  <c:v>304.92</c:v>
                </c:pt>
                <c:pt idx="7">
                  <c:v>411</c:v>
                </c:pt>
                <c:pt idx="8">
                  <c:v>323.31</c:v>
                </c:pt>
                <c:pt idx="9">
                  <c:v>316.75</c:v>
                </c:pt>
                <c:pt idx="10">
                  <c:v>316.75</c:v>
                </c:pt>
                <c:pt idx="11">
                  <c:v>303.89999999999998</c:v>
                </c:pt>
                <c:pt idx="12">
                  <c:v>304.89</c:v>
                </c:pt>
                <c:pt idx="13">
                  <c:v>304.92</c:v>
                </c:pt>
                <c:pt idx="14">
                  <c:v>304.89</c:v>
                </c:pt>
                <c:pt idx="15">
                  <c:v>289.17</c:v>
                </c:pt>
                <c:pt idx="16">
                  <c:v>409</c:v>
                </c:pt>
                <c:pt idx="17">
                  <c:v>369.89</c:v>
                </c:pt>
                <c:pt idx="18">
                  <c:v>286.72000000000003</c:v>
                </c:pt>
                <c:pt idx="19">
                  <c:v>286.72000000000003</c:v>
                </c:pt>
                <c:pt idx="20">
                  <c:v>489.13</c:v>
                </c:pt>
                <c:pt idx="21">
                  <c:v>393.43</c:v>
                </c:pt>
                <c:pt idx="22">
                  <c:v>393.43</c:v>
                </c:pt>
                <c:pt idx="23">
                  <c:v>393.43</c:v>
                </c:pt>
                <c:pt idx="24">
                  <c:v>346.9</c:v>
                </c:pt>
                <c:pt idx="25">
                  <c:v>348.7</c:v>
                </c:pt>
                <c:pt idx="26">
                  <c:v>348.7</c:v>
                </c:pt>
                <c:pt idx="27">
                  <c:v>348.7</c:v>
                </c:pt>
                <c:pt idx="28">
                  <c:v>348.7</c:v>
                </c:pt>
                <c:pt idx="29">
                  <c:v>348.7</c:v>
                </c:pt>
                <c:pt idx="30">
                  <c:v>331.72</c:v>
                </c:pt>
                <c:pt idx="31">
                  <c:v>331.75</c:v>
                </c:pt>
                <c:pt idx="32">
                  <c:v>346.2</c:v>
                </c:pt>
                <c:pt idx="33">
                  <c:v>346.2</c:v>
                </c:pt>
                <c:pt idx="34">
                  <c:v>346.2</c:v>
                </c:pt>
                <c:pt idx="35">
                  <c:v>346.2</c:v>
                </c:pt>
                <c:pt idx="36">
                  <c:v>346.2</c:v>
                </c:pt>
                <c:pt idx="37">
                  <c:v>346.2</c:v>
                </c:pt>
                <c:pt idx="38">
                  <c:v>346.2</c:v>
                </c:pt>
                <c:pt idx="39">
                  <c:v>346.2</c:v>
                </c:pt>
                <c:pt idx="40">
                  <c:v>289.17</c:v>
                </c:pt>
                <c:pt idx="41">
                  <c:v>253.01</c:v>
                </c:pt>
                <c:pt idx="42">
                  <c:v>255</c:v>
                </c:pt>
                <c:pt idx="43">
                  <c:v>255</c:v>
                </c:pt>
                <c:pt idx="44">
                  <c:v>284.33</c:v>
                </c:pt>
                <c:pt idx="45">
                  <c:v>284.33</c:v>
                </c:pt>
                <c:pt idx="46">
                  <c:v>284.32</c:v>
                </c:pt>
                <c:pt idx="47">
                  <c:v>284.32</c:v>
                </c:pt>
                <c:pt idx="48">
                  <c:v>288.76</c:v>
                </c:pt>
                <c:pt idx="49">
                  <c:v>288.76</c:v>
                </c:pt>
                <c:pt idx="50">
                  <c:v>284.36</c:v>
                </c:pt>
                <c:pt idx="51">
                  <c:v>284.36</c:v>
                </c:pt>
                <c:pt idx="52">
                  <c:v>284.35000000000002</c:v>
                </c:pt>
                <c:pt idx="53">
                  <c:v>284.35000000000002</c:v>
                </c:pt>
                <c:pt idx="54">
                  <c:v>284.33999999999997</c:v>
                </c:pt>
                <c:pt idx="55">
                  <c:v>284.33999999999997</c:v>
                </c:pt>
                <c:pt idx="56">
                  <c:v>284.32</c:v>
                </c:pt>
                <c:pt idx="57">
                  <c:v>284.32</c:v>
                </c:pt>
                <c:pt idx="58">
                  <c:v>284.36</c:v>
                </c:pt>
                <c:pt idx="59">
                  <c:v>284.36</c:v>
                </c:pt>
                <c:pt idx="60">
                  <c:v>289.2</c:v>
                </c:pt>
                <c:pt idx="61">
                  <c:v>289.2</c:v>
                </c:pt>
                <c:pt idx="62">
                  <c:v>289.2</c:v>
                </c:pt>
                <c:pt idx="63">
                  <c:v>345.4</c:v>
                </c:pt>
                <c:pt idx="64">
                  <c:v>276.94</c:v>
                </c:pt>
                <c:pt idx="65">
                  <c:v>346.2</c:v>
                </c:pt>
                <c:pt idx="66">
                  <c:v>346.2</c:v>
                </c:pt>
                <c:pt idx="67">
                  <c:v>348</c:v>
                </c:pt>
                <c:pt idx="68">
                  <c:v>346.2</c:v>
                </c:pt>
                <c:pt idx="69">
                  <c:v>346.2</c:v>
                </c:pt>
                <c:pt idx="70">
                  <c:v>346.2</c:v>
                </c:pt>
                <c:pt idx="71">
                  <c:v>346.7</c:v>
                </c:pt>
                <c:pt idx="72">
                  <c:v>323.31</c:v>
                </c:pt>
                <c:pt idx="73">
                  <c:v>441.5</c:v>
                </c:pt>
                <c:pt idx="74">
                  <c:v>441.2</c:v>
                </c:pt>
                <c:pt idx="75">
                  <c:v>324.36</c:v>
                </c:pt>
                <c:pt idx="76">
                  <c:v>324.36</c:v>
                </c:pt>
                <c:pt idx="77">
                  <c:v>324.36</c:v>
                </c:pt>
                <c:pt idx="78">
                  <c:v>324.36</c:v>
                </c:pt>
                <c:pt idx="79">
                  <c:v>343.16</c:v>
                </c:pt>
                <c:pt idx="80">
                  <c:v>443.17</c:v>
                </c:pt>
                <c:pt idx="81">
                  <c:v>443.17</c:v>
                </c:pt>
                <c:pt idx="82">
                  <c:v>441.47</c:v>
                </c:pt>
                <c:pt idx="83">
                  <c:v>441.47</c:v>
                </c:pt>
                <c:pt idx="84">
                  <c:v>364.13</c:v>
                </c:pt>
                <c:pt idx="85">
                  <c:v>364.13</c:v>
                </c:pt>
                <c:pt idx="86">
                  <c:v>364.13</c:v>
                </c:pt>
                <c:pt idx="87">
                  <c:v>364.13</c:v>
                </c:pt>
                <c:pt idx="88">
                  <c:v>348.62</c:v>
                </c:pt>
                <c:pt idx="89">
                  <c:v>348.12</c:v>
                </c:pt>
                <c:pt idx="90">
                  <c:v>348.12</c:v>
                </c:pt>
                <c:pt idx="91">
                  <c:v>348.12</c:v>
                </c:pt>
                <c:pt idx="92">
                  <c:v>268.14</c:v>
                </c:pt>
                <c:pt idx="93">
                  <c:v>264.44</c:v>
                </c:pt>
                <c:pt idx="94">
                  <c:v>264.44</c:v>
                </c:pt>
                <c:pt idx="95">
                  <c:v>264.44</c:v>
                </c:pt>
                <c:pt idx="96">
                  <c:v>547.02</c:v>
                </c:pt>
                <c:pt idx="97">
                  <c:v>344.3</c:v>
                </c:pt>
                <c:pt idx="98">
                  <c:v>344.1</c:v>
                </c:pt>
                <c:pt idx="99">
                  <c:v>343.9</c:v>
                </c:pt>
                <c:pt idx="100">
                  <c:v>343.9</c:v>
                </c:pt>
                <c:pt idx="101">
                  <c:v>343.9</c:v>
                </c:pt>
                <c:pt idx="102">
                  <c:v>343.9</c:v>
                </c:pt>
                <c:pt idx="103">
                  <c:v>344.1</c:v>
                </c:pt>
                <c:pt idx="104">
                  <c:v>343.8</c:v>
                </c:pt>
                <c:pt idx="105">
                  <c:v>344</c:v>
                </c:pt>
                <c:pt idx="106">
                  <c:v>343.71</c:v>
                </c:pt>
                <c:pt idx="107">
                  <c:v>343.71</c:v>
                </c:pt>
                <c:pt idx="108">
                  <c:v>343.71</c:v>
                </c:pt>
                <c:pt idx="109">
                  <c:v>343.71</c:v>
                </c:pt>
                <c:pt idx="110">
                  <c:v>343.71</c:v>
                </c:pt>
                <c:pt idx="111">
                  <c:v>343.71</c:v>
                </c:pt>
                <c:pt idx="112">
                  <c:v>545.02</c:v>
                </c:pt>
                <c:pt idx="113">
                  <c:v>343.9</c:v>
                </c:pt>
                <c:pt idx="114">
                  <c:v>344.1</c:v>
                </c:pt>
                <c:pt idx="115">
                  <c:v>344.4</c:v>
                </c:pt>
                <c:pt idx="116">
                  <c:v>467</c:v>
                </c:pt>
                <c:pt idx="117">
                  <c:v>467</c:v>
                </c:pt>
                <c:pt idx="118">
                  <c:v>488</c:v>
                </c:pt>
                <c:pt idx="119">
                  <c:v>488</c:v>
                </c:pt>
                <c:pt idx="120">
                  <c:v>400.97</c:v>
                </c:pt>
                <c:pt idx="121">
                  <c:v>401.47</c:v>
                </c:pt>
                <c:pt idx="122">
                  <c:v>467</c:v>
                </c:pt>
                <c:pt idx="123">
                  <c:v>488</c:v>
                </c:pt>
                <c:pt idx="124">
                  <c:v>467</c:v>
                </c:pt>
                <c:pt idx="125">
                  <c:v>467</c:v>
                </c:pt>
                <c:pt idx="126">
                  <c:v>467</c:v>
                </c:pt>
                <c:pt idx="127">
                  <c:v>467</c:v>
                </c:pt>
                <c:pt idx="128">
                  <c:v>480.54</c:v>
                </c:pt>
                <c:pt idx="129">
                  <c:v>480.54</c:v>
                </c:pt>
                <c:pt idx="130">
                  <c:v>480.54</c:v>
                </c:pt>
                <c:pt idx="131">
                  <c:v>480.84</c:v>
                </c:pt>
                <c:pt idx="132">
                  <c:v>480.54</c:v>
                </c:pt>
                <c:pt idx="133">
                  <c:v>480.55</c:v>
                </c:pt>
                <c:pt idx="134">
                  <c:v>480.55</c:v>
                </c:pt>
                <c:pt idx="135">
                  <c:v>480.55</c:v>
                </c:pt>
                <c:pt idx="136">
                  <c:v>497</c:v>
                </c:pt>
                <c:pt idx="137">
                  <c:v>497</c:v>
                </c:pt>
                <c:pt idx="138">
                  <c:v>497</c:v>
                </c:pt>
                <c:pt idx="139">
                  <c:v>497</c:v>
                </c:pt>
                <c:pt idx="140">
                  <c:v>467</c:v>
                </c:pt>
                <c:pt idx="141">
                  <c:v>467</c:v>
                </c:pt>
                <c:pt idx="142">
                  <c:v>467</c:v>
                </c:pt>
                <c:pt idx="143">
                  <c:v>467</c:v>
                </c:pt>
                <c:pt idx="144">
                  <c:v>467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467</c:v>
                </c:pt>
                <c:pt idx="151">
                  <c:v>467</c:v>
                </c:pt>
                <c:pt idx="152">
                  <c:v>496.96</c:v>
                </c:pt>
                <c:pt idx="153">
                  <c:v>496.96</c:v>
                </c:pt>
                <c:pt idx="154">
                  <c:v>496.96</c:v>
                </c:pt>
                <c:pt idx="155">
                  <c:v>496.96</c:v>
                </c:pt>
                <c:pt idx="156">
                  <c:v>495.81</c:v>
                </c:pt>
                <c:pt idx="157">
                  <c:v>495.8</c:v>
                </c:pt>
                <c:pt idx="158">
                  <c:v>495.8</c:v>
                </c:pt>
                <c:pt idx="159">
                  <c:v>495.8</c:v>
                </c:pt>
                <c:pt idx="160">
                  <c:v>535.21</c:v>
                </c:pt>
                <c:pt idx="161">
                  <c:v>535.21</c:v>
                </c:pt>
                <c:pt idx="162">
                  <c:v>536</c:v>
                </c:pt>
                <c:pt idx="163">
                  <c:v>536</c:v>
                </c:pt>
                <c:pt idx="164">
                  <c:v>549.91999999999996</c:v>
                </c:pt>
                <c:pt idx="165">
                  <c:v>549.73</c:v>
                </c:pt>
                <c:pt idx="166">
                  <c:v>549.73</c:v>
                </c:pt>
                <c:pt idx="167">
                  <c:v>549.73</c:v>
                </c:pt>
                <c:pt idx="168">
                  <c:v>600.54999999999995</c:v>
                </c:pt>
                <c:pt idx="169">
                  <c:v>602.15</c:v>
                </c:pt>
                <c:pt idx="170">
                  <c:v>602.15</c:v>
                </c:pt>
                <c:pt idx="171">
                  <c:v>602.15</c:v>
                </c:pt>
                <c:pt idx="172">
                  <c:v>602.16999999999996</c:v>
                </c:pt>
                <c:pt idx="173">
                  <c:v>602.16999999999996</c:v>
                </c:pt>
                <c:pt idx="174">
                  <c:v>602.16999999999996</c:v>
                </c:pt>
                <c:pt idx="175">
                  <c:v>602.16999999999996</c:v>
                </c:pt>
                <c:pt idx="176">
                  <c:v>557.94000000000005</c:v>
                </c:pt>
                <c:pt idx="177">
                  <c:v>558.14</c:v>
                </c:pt>
                <c:pt idx="178">
                  <c:v>557.94000000000005</c:v>
                </c:pt>
                <c:pt idx="179">
                  <c:v>556.95000000000005</c:v>
                </c:pt>
                <c:pt idx="180">
                  <c:v>497</c:v>
                </c:pt>
                <c:pt idx="181">
                  <c:v>496.99</c:v>
                </c:pt>
                <c:pt idx="182">
                  <c:v>496.99</c:v>
                </c:pt>
                <c:pt idx="183">
                  <c:v>498.19</c:v>
                </c:pt>
                <c:pt idx="184">
                  <c:v>494.45</c:v>
                </c:pt>
                <c:pt idx="185">
                  <c:v>494.45</c:v>
                </c:pt>
                <c:pt idx="186">
                  <c:v>492.15</c:v>
                </c:pt>
                <c:pt idx="187">
                  <c:v>492.15</c:v>
                </c:pt>
                <c:pt idx="188">
                  <c:v>488</c:v>
                </c:pt>
                <c:pt idx="189">
                  <c:v>488</c:v>
                </c:pt>
                <c:pt idx="190">
                  <c:v>501.11</c:v>
                </c:pt>
                <c:pt idx="191">
                  <c:v>501.11</c:v>
                </c:pt>
                <c:pt idx="192">
                  <c:v>506</c:v>
                </c:pt>
                <c:pt idx="193">
                  <c:v>369.8</c:v>
                </c:pt>
                <c:pt idx="194">
                  <c:v>369.8</c:v>
                </c:pt>
                <c:pt idx="195">
                  <c:v>367.4</c:v>
                </c:pt>
                <c:pt idx="196">
                  <c:v>499.82</c:v>
                </c:pt>
                <c:pt idx="197">
                  <c:v>499.82</c:v>
                </c:pt>
                <c:pt idx="198">
                  <c:v>369.8</c:v>
                </c:pt>
                <c:pt idx="199">
                  <c:v>369.8</c:v>
                </c:pt>
                <c:pt idx="200">
                  <c:v>367.4</c:v>
                </c:pt>
                <c:pt idx="201">
                  <c:v>367.4</c:v>
                </c:pt>
                <c:pt idx="202">
                  <c:v>367.4</c:v>
                </c:pt>
                <c:pt idx="203">
                  <c:v>367.4</c:v>
                </c:pt>
                <c:pt idx="204">
                  <c:v>367.4</c:v>
                </c:pt>
                <c:pt idx="205">
                  <c:v>367.4</c:v>
                </c:pt>
                <c:pt idx="206">
                  <c:v>367.4</c:v>
                </c:pt>
                <c:pt idx="207">
                  <c:v>367.4</c:v>
                </c:pt>
                <c:pt idx="208">
                  <c:v>369.8</c:v>
                </c:pt>
                <c:pt idx="209">
                  <c:v>369.8</c:v>
                </c:pt>
                <c:pt idx="210">
                  <c:v>369.8</c:v>
                </c:pt>
                <c:pt idx="211">
                  <c:v>369.8</c:v>
                </c:pt>
                <c:pt idx="212">
                  <c:v>484</c:v>
                </c:pt>
                <c:pt idx="213">
                  <c:v>383.3</c:v>
                </c:pt>
                <c:pt idx="214">
                  <c:v>383.3</c:v>
                </c:pt>
                <c:pt idx="215">
                  <c:v>383.3</c:v>
                </c:pt>
                <c:pt idx="216">
                  <c:v>369.8</c:v>
                </c:pt>
                <c:pt idx="217">
                  <c:v>369.8</c:v>
                </c:pt>
                <c:pt idx="218">
                  <c:v>369.8</c:v>
                </c:pt>
                <c:pt idx="219">
                  <c:v>369.8</c:v>
                </c:pt>
                <c:pt idx="220">
                  <c:v>456.82</c:v>
                </c:pt>
                <c:pt idx="221">
                  <c:v>456.82</c:v>
                </c:pt>
                <c:pt idx="222">
                  <c:v>456.82</c:v>
                </c:pt>
                <c:pt idx="223">
                  <c:v>456.82</c:v>
                </c:pt>
                <c:pt idx="224">
                  <c:v>412.3</c:v>
                </c:pt>
                <c:pt idx="225">
                  <c:v>412.3</c:v>
                </c:pt>
                <c:pt idx="226">
                  <c:v>412.3</c:v>
                </c:pt>
                <c:pt idx="227">
                  <c:v>412.3</c:v>
                </c:pt>
                <c:pt idx="228">
                  <c:v>369.8</c:v>
                </c:pt>
                <c:pt idx="229">
                  <c:v>369.8</c:v>
                </c:pt>
                <c:pt idx="230">
                  <c:v>368.1</c:v>
                </c:pt>
                <c:pt idx="231">
                  <c:v>368.1</c:v>
                </c:pt>
                <c:pt idx="232">
                  <c:v>369.8</c:v>
                </c:pt>
                <c:pt idx="233">
                  <c:v>369.8</c:v>
                </c:pt>
                <c:pt idx="234">
                  <c:v>369.8</c:v>
                </c:pt>
                <c:pt idx="235">
                  <c:v>369.8</c:v>
                </c:pt>
                <c:pt idx="236">
                  <c:v>369.8</c:v>
                </c:pt>
                <c:pt idx="237">
                  <c:v>369.8</c:v>
                </c:pt>
                <c:pt idx="238">
                  <c:v>369.8</c:v>
                </c:pt>
                <c:pt idx="239">
                  <c:v>369.8</c:v>
                </c:pt>
                <c:pt idx="240">
                  <c:v>369.8</c:v>
                </c:pt>
                <c:pt idx="241">
                  <c:v>369.8</c:v>
                </c:pt>
                <c:pt idx="242">
                  <c:v>369.8</c:v>
                </c:pt>
                <c:pt idx="243">
                  <c:v>369.8</c:v>
                </c:pt>
                <c:pt idx="244">
                  <c:v>369.8</c:v>
                </c:pt>
                <c:pt idx="245">
                  <c:v>369.8</c:v>
                </c:pt>
                <c:pt idx="246">
                  <c:v>369.8</c:v>
                </c:pt>
                <c:pt idx="247">
                  <c:v>369.8</c:v>
                </c:pt>
                <c:pt idx="248">
                  <c:v>367.5</c:v>
                </c:pt>
                <c:pt idx="249">
                  <c:v>369.8</c:v>
                </c:pt>
                <c:pt idx="250">
                  <c:v>369.8</c:v>
                </c:pt>
                <c:pt idx="251">
                  <c:v>369.8</c:v>
                </c:pt>
                <c:pt idx="252">
                  <c:v>369.8</c:v>
                </c:pt>
                <c:pt idx="253">
                  <c:v>369.8</c:v>
                </c:pt>
                <c:pt idx="254">
                  <c:v>369.8</c:v>
                </c:pt>
                <c:pt idx="255">
                  <c:v>369.8</c:v>
                </c:pt>
                <c:pt idx="256">
                  <c:v>412.11</c:v>
                </c:pt>
                <c:pt idx="257">
                  <c:v>412.11</c:v>
                </c:pt>
                <c:pt idx="258">
                  <c:v>412.11</c:v>
                </c:pt>
                <c:pt idx="259">
                  <c:v>412.11</c:v>
                </c:pt>
                <c:pt idx="260">
                  <c:v>447.9</c:v>
                </c:pt>
                <c:pt idx="261">
                  <c:v>447.9</c:v>
                </c:pt>
                <c:pt idx="262">
                  <c:v>447.9</c:v>
                </c:pt>
                <c:pt idx="263">
                  <c:v>447.9</c:v>
                </c:pt>
                <c:pt idx="264">
                  <c:v>543.29999999999995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538.94000000000005</c:v>
                </c:pt>
                <c:pt idx="269">
                  <c:v>538.94000000000005</c:v>
                </c:pt>
                <c:pt idx="270">
                  <c:v>538.94000000000005</c:v>
                </c:pt>
                <c:pt idx="271">
                  <c:v>538.94000000000005</c:v>
                </c:pt>
                <c:pt idx="272">
                  <c:v>412.07</c:v>
                </c:pt>
                <c:pt idx="273">
                  <c:v>412.07</c:v>
                </c:pt>
                <c:pt idx="274">
                  <c:v>412.07</c:v>
                </c:pt>
                <c:pt idx="275">
                  <c:v>412.07</c:v>
                </c:pt>
                <c:pt idx="276">
                  <c:v>369.8</c:v>
                </c:pt>
                <c:pt idx="277">
                  <c:v>369.8</c:v>
                </c:pt>
                <c:pt idx="278">
                  <c:v>369.8</c:v>
                </c:pt>
                <c:pt idx="279">
                  <c:v>369.8</c:v>
                </c:pt>
                <c:pt idx="280">
                  <c:v>369.8</c:v>
                </c:pt>
                <c:pt idx="281">
                  <c:v>369.8</c:v>
                </c:pt>
                <c:pt idx="282">
                  <c:v>369.8</c:v>
                </c:pt>
                <c:pt idx="283">
                  <c:v>369.8</c:v>
                </c:pt>
                <c:pt idx="284">
                  <c:v>369.8</c:v>
                </c:pt>
                <c:pt idx="285">
                  <c:v>367.6</c:v>
                </c:pt>
                <c:pt idx="286">
                  <c:v>367.2</c:v>
                </c:pt>
                <c:pt idx="287">
                  <c:v>369.8</c:v>
                </c:pt>
                <c:pt idx="288">
                  <c:v>311.49</c:v>
                </c:pt>
                <c:pt idx="289">
                  <c:v>446</c:v>
                </c:pt>
                <c:pt idx="290">
                  <c:v>358.7</c:v>
                </c:pt>
                <c:pt idx="291">
                  <c:v>358.7</c:v>
                </c:pt>
                <c:pt idx="292">
                  <c:v>449.73</c:v>
                </c:pt>
                <c:pt idx="293">
                  <c:v>449.73</c:v>
                </c:pt>
                <c:pt idx="294">
                  <c:v>444</c:v>
                </c:pt>
                <c:pt idx="295">
                  <c:v>352.62</c:v>
                </c:pt>
                <c:pt idx="296">
                  <c:v>342.6</c:v>
                </c:pt>
                <c:pt idx="297">
                  <c:v>342.6</c:v>
                </c:pt>
                <c:pt idx="298">
                  <c:v>342.6</c:v>
                </c:pt>
                <c:pt idx="299">
                  <c:v>342.6</c:v>
                </c:pt>
                <c:pt idx="300">
                  <c:v>342.6</c:v>
                </c:pt>
                <c:pt idx="301">
                  <c:v>342.6</c:v>
                </c:pt>
                <c:pt idx="302">
                  <c:v>342.3</c:v>
                </c:pt>
                <c:pt idx="303">
                  <c:v>342.6</c:v>
                </c:pt>
                <c:pt idx="304">
                  <c:v>342.6</c:v>
                </c:pt>
                <c:pt idx="305">
                  <c:v>342.6</c:v>
                </c:pt>
                <c:pt idx="306">
                  <c:v>342.3</c:v>
                </c:pt>
                <c:pt idx="307">
                  <c:v>342.6</c:v>
                </c:pt>
                <c:pt idx="308">
                  <c:v>446</c:v>
                </c:pt>
                <c:pt idx="309">
                  <c:v>345.71</c:v>
                </c:pt>
                <c:pt idx="310">
                  <c:v>345.71</c:v>
                </c:pt>
                <c:pt idx="311">
                  <c:v>346.61</c:v>
                </c:pt>
                <c:pt idx="312">
                  <c:v>422.6</c:v>
                </c:pt>
                <c:pt idx="313">
                  <c:v>423</c:v>
                </c:pt>
                <c:pt idx="314">
                  <c:v>423</c:v>
                </c:pt>
                <c:pt idx="315">
                  <c:v>424.3</c:v>
                </c:pt>
                <c:pt idx="316">
                  <c:v>447.9</c:v>
                </c:pt>
                <c:pt idx="317">
                  <c:v>446.2</c:v>
                </c:pt>
                <c:pt idx="318">
                  <c:v>446.2</c:v>
                </c:pt>
                <c:pt idx="319">
                  <c:v>446.2</c:v>
                </c:pt>
                <c:pt idx="320">
                  <c:v>403.06</c:v>
                </c:pt>
                <c:pt idx="321">
                  <c:v>403.06</c:v>
                </c:pt>
                <c:pt idx="322">
                  <c:v>403.06</c:v>
                </c:pt>
                <c:pt idx="323">
                  <c:v>403.06</c:v>
                </c:pt>
                <c:pt idx="324">
                  <c:v>379.9</c:v>
                </c:pt>
                <c:pt idx="325">
                  <c:v>379.9</c:v>
                </c:pt>
                <c:pt idx="326">
                  <c:v>447.01</c:v>
                </c:pt>
                <c:pt idx="327">
                  <c:v>379.89</c:v>
                </c:pt>
                <c:pt idx="328">
                  <c:v>349.77</c:v>
                </c:pt>
                <c:pt idx="329">
                  <c:v>399</c:v>
                </c:pt>
                <c:pt idx="330">
                  <c:v>447.02</c:v>
                </c:pt>
                <c:pt idx="331">
                  <c:v>447.02</c:v>
                </c:pt>
                <c:pt idx="332">
                  <c:v>349.77</c:v>
                </c:pt>
                <c:pt idx="333">
                  <c:v>447.01</c:v>
                </c:pt>
                <c:pt idx="334">
                  <c:v>349.77</c:v>
                </c:pt>
                <c:pt idx="335">
                  <c:v>349.83</c:v>
                </c:pt>
                <c:pt idx="336">
                  <c:v>349.86</c:v>
                </c:pt>
                <c:pt idx="337">
                  <c:v>349.83</c:v>
                </c:pt>
                <c:pt idx="338">
                  <c:v>371.77</c:v>
                </c:pt>
                <c:pt idx="339">
                  <c:v>349.86</c:v>
                </c:pt>
                <c:pt idx="340">
                  <c:v>447.02</c:v>
                </c:pt>
                <c:pt idx="341">
                  <c:v>349.74</c:v>
                </c:pt>
                <c:pt idx="342">
                  <c:v>349.77</c:v>
                </c:pt>
                <c:pt idx="343">
                  <c:v>349.77</c:v>
                </c:pt>
                <c:pt idx="344">
                  <c:v>349.8</c:v>
                </c:pt>
                <c:pt idx="345">
                  <c:v>349.8</c:v>
                </c:pt>
                <c:pt idx="346">
                  <c:v>349.77</c:v>
                </c:pt>
                <c:pt idx="347">
                  <c:v>339.48</c:v>
                </c:pt>
                <c:pt idx="348">
                  <c:v>339.48</c:v>
                </c:pt>
                <c:pt idx="349">
                  <c:v>339.48</c:v>
                </c:pt>
                <c:pt idx="350">
                  <c:v>339.48</c:v>
                </c:pt>
                <c:pt idx="351">
                  <c:v>349.74</c:v>
                </c:pt>
                <c:pt idx="352">
                  <c:v>478.45</c:v>
                </c:pt>
                <c:pt idx="353">
                  <c:v>425.98</c:v>
                </c:pt>
                <c:pt idx="354">
                  <c:v>391.15</c:v>
                </c:pt>
                <c:pt idx="355">
                  <c:v>423.03</c:v>
                </c:pt>
                <c:pt idx="356">
                  <c:v>429.85</c:v>
                </c:pt>
                <c:pt idx="357">
                  <c:v>428.65</c:v>
                </c:pt>
                <c:pt idx="358">
                  <c:v>429.05</c:v>
                </c:pt>
                <c:pt idx="359">
                  <c:v>429.95</c:v>
                </c:pt>
                <c:pt idx="360">
                  <c:v>482.1</c:v>
                </c:pt>
                <c:pt idx="361">
                  <c:v>490.52</c:v>
                </c:pt>
                <c:pt idx="362">
                  <c:v>490.52</c:v>
                </c:pt>
                <c:pt idx="363">
                  <c:v>483.2</c:v>
                </c:pt>
                <c:pt idx="364">
                  <c:v>491.6</c:v>
                </c:pt>
                <c:pt idx="365">
                  <c:v>500.02</c:v>
                </c:pt>
                <c:pt idx="366">
                  <c:v>500.02</c:v>
                </c:pt>
                <c:pt idx="367">
                  <c:v>500.02</c:v>
                </c:pt>
                <c:pt idx="368">
                  <c:v>442.71</c:v>
                </c:pt>
                <c:pt idx="369">
                  <c:v>442.31</c:v>
                </c:pt>
                <c:pt idx="370">
                  <c:v>442.31</c:v>
                </c:pt>
                <c:pt idx="371">
                  <c:v>442.31</c:v>
                </c:pt>
                <c:pt idx="372">
                  <c:v>1600</c:v>
                </c:pt>
                <c:pt idx="373">
                  <c:v>1600</c:v>
                </c:pt>
                <c:pt idx="374">
                  <c:v>368.58</c:v>
                </c:pt>
                <c:pt idx="375">
                  <c:v>368.18</c:v>
                </c:pt>
                <c:pt idx="376">
                  <c:v>386.18</c:v>
                </c:pt>
                <c:pt idx="377">
                  <c:v>386.18</c:v>
                </c:pt>
                <c:pt idx="378">
                  <c:v>385.18</c:v>
                </c:pt>
                <c:pt idx="379">
                  <c:v>385.18</c:v>
                </c:pt>
                <c:pt idx="380">
                  <c:v>373.46</c:v>
                </c:pt>
                <c:pt idx="381">
                  <c:v>373.46</c:v>
                </c:pt>
                <c:pt idx="382">
                  <c:v>373.46</c:v>
                </c:pt>
                <c:pt idx="383">
                  <c:v>373.46</c:v>
                </c:pt>
                <c:pt idx="384">
                  <c:v>290.13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259</c:v>
                </c:pt>
                <c:pt idx="389">
                  <c:v>259</c:v>
                </c:pt>
                <c:pt idx="390">
                  <c:v>259</c:v>
                </c:pt>
                <c:pt idx="391">
                  <c:v>259</c:v>
                </c:pt>
                <c:pt idx="392">
                  <c:v>259</c:v>
                </c:pt>
                <c:pt idx="393">
                  <c:v>259</c:v>
                </c:pt>
                <c:pt idx="394">
                  <c:v>259</c:v>
                </c:pt>
                <c:pt idx="395">
                  <c:v>0</c:v>
                </c:pt>
                <c:pt idx="396">
                  <c:v>259</c:v>
                </c:pt>
                <c:pt idx="397">
                  <c:v>259</c:v>
                </c:pt>
                <c:pt idx="398">
                  <c:v>259</c:v>
                </c:pt>
                <c:pt idx="399">
                  <c:v>259</c:v>
                </c:pt>
                <c:pt idx="400">
                  <c:v>259</c:v>
                </c:pt>
                <c:pt idx="401">
                  <c:v>259</c:v>
                </c:pt>
                <c:pt idx="402">
                  <c:v>303.76</c:v>
                </c:pt>
                <c:pt idx="403">
                  <c:v>541.83000000000004</c:v>
                </c:pt>
                <c:pt idx="404">
                  <c:v>259</c:v>
                </c:pt>
                <c:pt idx="405">
                  <c:v>259</c:v>
                </c:pt>
                <c:pt idx="406">
                  <c:v>259</c:v>
                </c:pt>
                <c:pt idx="407">
                  <c:v>305.3</c:v>
                </c:pt>
                <c:pt idx="408">
                  <c:v>368.36</c:v>
                </c:pt>
                <c:pt idx="409">
                  <c:v>368.36</c:v>
                </c:pt>
                <c:pt idx="410">
                  <c:v>368.36</c:v>
                </c:pt>
                <c:pt idx="411">
                  <c:v>370.06</c:v>
                </c:pt>
                <c:pt idx="412">
                  <c:v>372.95</c:v>
                </c:pt>
                <c:pt idx="413">
                  <c:v>849</c:v>
                </c:pt>
                <c:pt idx="414">
                  <c:v>372.55</c:v>
                </c:pt>
                <c:pt idx="415">
                  <c:v>372.55</c:v>
                </c:pt>
                <c:pt idx="416">
                  <c:v>399</c:v>
                </c:pt>
                <c:pt idx="417">
                  <c:v>342.32</c:v>
                </c:pt>
                <c:pt idx="418">
                  <c:v>339.92</c:v>
                </c:pt>
                <c:pt idx="419">
                  <c:v>339.92</c:v>
                </c:pt>
                <c:pt idx="420">
                  <c:v>307.75</c:v>
                </c:pt>
                <c:pt idx="421">
                  <c:v>311.35000000000002</c:v>
                </c:pt>
                <c:pt idx="422">
                  <c:v>307.75</c:v>
                </c:pt>
                <c:pt idx="423">
                  <c:v>307.75</c:v>
                </c:pt>
                <c:pt idx="424">
                  <c:v>305.5</c:v>
                </c:pt>
                <c:pt idx="425">
                  <c:v>305.5</c:v>
                </c:pt>
                <c:pt idx="426">
                  <c:v>305.3</c:v>
                </c:pt>
                <c:pt idx="427">
                  <c:v>305.3</c:v>
                </c:pt>
                <c:pt idx="428">
                  <c:v>305.3</c:v>
                </c:pt>
                <c:pt idx="429">
                  <c:v>305.3</c:v>
                </c:pt>
                <c:pt idx="430">
                  <c:v>305.3</c:v>
                </c:pt>
                <c:pt idx="431">
                  <c:v>305.3</c:v>
                </c:pt>
                <c:pt idx="432">
                  <c:v>305.3</c:v>
                </c:pt>
                <c:pt idx="433">
                  <c:v>305.3</c:v>
                </c:pt>
                <c:pt idx="434">
                  <c:v>305.3</c:v>
                </c:pt>
                <c:pt idx="435">
                  <c:v>305.3</c:v>
                </c:pt>
                <c:pt idx="436">
                  <c:v>305.3</c:v>
                </c:pt>
                <c:pt idx="437">
                  <c:v>305.3</c:v>
                </c:pt>
                <c:pt idx="438">
                  <c:v>305.3</c:v>
                </c:pt>
                <c:pt idx="439">
                  <c:v>305.3</c:v>
                </c:pt>
                <c:pt idx="440">
                  <c:v>328.9</c:v>
                </c:pt>
                <c:pt idx="441">
                  <c:v>328.9</c:v>
                </c:pt>
                <c:pt idx="442">
                  <c:v>328.9</c:v>
                </c:pt>
                <c:pt idx="443">
                  <c:v>329</c:v>
                </c:pt>
                <c:pt idx="444">
                  <c:v>299.11</c:v>
                </c:pt>
                <c:pt idx="445">
                  <c:v>299.11</c:v>
                </c:pt>
                <c:pt idx="446">
                  <c:v>303.76</c:v>
                </c:pt>
                <c:pt idx="447">
                  <c:v>338.06</c:v>
                </c:pt>
                <c:pt idx="448">
                  <c:v>436.9</c:v>
                </c:pt>
                <c:pt idx="449">
                  <c:v>341.2</c:v>
                </c:pt>
                <c:pt idx="450">
                  <c:v>341.2</c:v>
                </c:pt>
                <c:pt idx="451">
                  <c:v>344.2</c:v>
                </c:pt>
                <c:pt idx="452">
                  <c:v>387.77</c:v>
                </c:pt>
                <c:pt idx="453">
                  <c:v>0</c:v>
                </c:pt>
                <c:pt idx="454">
                  <c:v>255.61</c:v>
                </c:pt>
                <c:pt idx="455">
                  <c:v>387.77</c:v>
                </c:pt>
                <c:pt idx="456">
                  <c:v>479.3</c:v>
                </c:pt>
                <c:pt idx="457">
                  <c:v>479.3</c:v>
                </c:pt>
                <c:pt idx="458">
                  <c:v>479.3</c:v>
                </c:pt>
                <c:pt idx="459">
                  <c:v>479.3</c:v>
                </c:pt>
                <c:pt idx="460">
                  <c:v>481.3</c:v>
                </c:pt>
                <c:pt idx="461">
                  <c:v>481.3</c:v>
                </c:pt>
                <c:pt idx="462">
                  <c:v>303.76</c:v>
                </c:pt>
                <c:pt idx="463">
                  <c:v>303.76</c:v>
                </c:pt>
                <c:pt idx="464">
                  <c:v>431.7</c:v>
                </c:pt>
                <c:pt idx="465">
                  <c:v>432.6</c:v>
                </c:pt>
                <c:pt idx="466">
                  <c:v>304.58</c:v>
                </c:pt>
                <c:pt idx="467">
                  <c:v>255.61</c:v>
                </c:pt>
                <c:pt idx="468">
                  <c:v>361.31</c:v>
                </c:pt>
                <c:pt idx="469">
                  <c:v>361.31</c:v>
                </c:pt>
                <c:pt idx="470">
                  <c:v>361.21</c:v>
                </c:pt>
                <c:pt idx="471">
                  <c:v>361.21</c:v>
                </c:pt>
                <c:pt idx="472">
                  <c:v>343.25</c:v>
                </c:pt>
                <c:pt idx="473">
                  <c:v>399</c:v>
                </c:pt>
                <c:pt idx="474">
                  <c:v>349.01</c:v>
                </c:pt>
                <c:pt idx="475">
                  <c:v>349.02</c:v>
                </c:pt>
                <c:pt idx="476">
                  <c:v>399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247.89</c:v>
                </c:pt>
                <c:pt idx="481">
                  <c:v>279.83</c:v>
                </c:pt>
                <c:pt idx="482">
                  <c:v>247.89</c:v>
                </c:pt>
                <c:pt idx="483">
                  <c:v>0</c:v>
                </c:pt>
                <c:pt idx="484">
                  <c:v>267.82</c:v>
                </c:pt>
                <c:pt idx="485">
                  <c:v>284.25</c:v>
                </c:pt>
                <c:pt idx="486">
                  <c:v>0</c:v>
                </c:pt>
                <c:pt idx="487">
                  <c:v>0</c:v>
                </c:pt>
                <c:pt idx="488">
                  <c:v>267.82</c:v>
                </c:pt>
                <c:pt idx="489">
                  <c:v>260.89</c:v>
                </c:pt>
                <c:pt idx="490">
                  <c:v>0</c:v>
                </c:pt>
                <c:pt idx="491">
                  <c:v>0</c:v>
                </c:pt>
                <c:pt idx="492">
                  <c:v>247.89</c:v>
                </c:pt>
                <c:pt idx="493">
                  <c:v>247.89</c:v>
                </c:pt>
                <c:pt idx="494">
                  <c:v>247.89</c:v>
                </c:pt>
                <c:pt idx="495">
                  <c:v>247.89</c:v>
                </c:pt>
                <c:pt idx="496">
                  <c:v>247.87</c:v>
                </c:pt>
                <c:pt idx="497">
                  <c:v>247.87</c:v>
                </c:pt>
                <c:pt idx="498">
                  <c:v>247.89</c:v>
                </c:pt>
                <c:pt idx="499">
                  <c:v>247.89</c:v>
                </c:pt>
                <c:pt idx="500">
                  <c:v>262</c:v>
                </c:pt>
                <c:pt idx="501">
                  <c:v>201.36</c:v>
                </c:pt>
                <c:pt idx="502">
                  <c:v>267.82</c:v>
                </c:pt>
                <c:pt idx="503">
                  <c:v>267.82</c:v>
                </c:pt>
                <c:pt idx="504">
                  <c:v>267.82</c:v>
                </c:pt>
                <c:pt idx="505">
                  <c:v>267.82</c:v>
                </c:pt>
                <c:pt idx="506">
                  <c:v>267.82</c:v>
                </c:pt>
                <c:pt idx="507">
                  <c:v>267.82</c:v>
                </c:pt>
                <c:pt idx="508">
                  <c:v>267.82</c:v>
                </c:pt>
                <c:pt idx="509">
                  <c:v>267.82</c:v>
                </c:pt>
                <c:pt idx="510">
                  <c:v>267.82</c:v>
                </c:pt>
                <c:pt idx="511">
                  <c:v>267.82</c:v>
                </c:pt>
                <c:pt idx="512">
                  <c:v>235.55</c:v>
                </c:pt>
                <c:pt idx="513">
                  <c:v>236</c:v>
                </c:pt>
                <c:pt idx="514">
                  <c:v>236</c:v>
                </c:pt>
                <c:pt idx="515">
                  <c:v>236</c:v>
                </c:pt>
                <c:pt idx="516">
                  <c:v>283.06</c:v>
                </c:pt>
                <c:pt idx="517">
                  <c:v>283.06</c:v>
                </c:pt>
                <c:pt idx="518">
                  <c:v>256.58</c:v>
                </c:pt>
                <c:pt idx="519">
                  <c:v>256.58</c:v>
                </c:pt>
                <c:pt idx="520">
                  <c:v>274.51</c:v>
                </c:pt>
                <c:pt idx="521">
                  <c:v>274.51</c:v>
                </c:pt>
                <c:pt idx="522">
                  <c:v>274.51</c:v>
                </c:pt>
                <c:pt idx="523">
                  <c:v>274.51</c:v>
                </c:pt>
                <c:pt idx="524">
                  <c:v>265.12</c:v>
                </c:pt>
                <c:pt idx="525">
                  <c:v>265.12</c:v>
                </c:pt>
                <c:pt idx="526">
                  <c:v>265.12</c:v>
                </c:pt>
                <c:pt idx="527">
                  <c:v>282.86</c:v>
                </c:pt>
                <c:pt idx="528">
                  <c:v>349</c:v>
                </c:pt>
                <c:pt idx="529">
                  <c:v>284.56</c:v>
                </c:pt>
                <c:pt idx="530">
                  <c:v>284.56</c:v>
                </c:pt>
                <c:pt idx="531">
                  <c:v>349</c:v>
                </c:pt>
                <c:pt idx="532">
                  <c:v>282.86</c:v>
                </c:pt>
                <c:pt idx="533">
                  <c:v>282.86</c:v>
                </c:pt>
                <c:pt idx="534">
                  <c:v>282.86</c:v>
                </c:pt>
                <c:pt idx="535">
                  <c:v>282.86</c:v>
                </c:pt>
                <c:pt idx="536">
                  <c:v>282.86</c:v>
                </c:pt>
                <c:pt idx="537">
                  <c:v>282.86</c:v>
                </c:pt>
                <c:pt idx="538">
                  <c:v>282.86</c:v>
                </c:pt>
                <c:pt idx="539">
                  <c:v>282.86</c:v>
                </c:pt>
                <c:pt idx="540">
                  <c:v>282.86</c:v>
                </c:pt>
                <c:pt idx="541">
                  <c:v>282.86</c:v>
                </c:pt>
                <c:pt idx="542">
                  <c:v>282.86</c:v>
                </c:pt>
                <c:pt idx="543">
                  <c:v>282.86</c:v>
                </c:pt>
                <c:pt idx="544">
                  <c:v>291.56</c:v>
                </c:pt>
                <c:pt idx="545">
                  <c:v>293.76</c:v>
                </c:pt>
                <c:pt idx="546">
                  <c:v>293.76</c:v>
                </c:pt>
                <c:pt idx="547">
                  <c:v>295.47000000000003</c:v>
                </c:pt>
                <c:pt idx="548">
                  <c:v>335.12</c:v>
                </c:pt>
                <c:pt idx="549">
                  <c:v>335.12</c:v>
                </c:pt>
                <c:pt idx="550">
                  <c:v>335.12</c:v>
                </c:pt>
                <c:pt idx="551">
                  <c:v>335.12</c:v>
                </c:pt>
                <c:pt idx="552">
                  <c:v>387.7</c:v>
                </c:pt>
                <c:pt idx="553">
                  <c:v>387.7</c:v>
                </c:pt>
                <c:pt idx="554">
                  <c:v>387.7</c:v>
                </c:pt>
                <c:pt idx="555">
                  <c:v>387.7</c:v>
                </c:pt>
                <c:pt idx="556">
                  <c:v>393.36</c:v>
                </c:pt>
                <c:pt idx="557">
                  <c:v>393.36</c:v>
                </c:pt>
                <c:pt idx="558">
                  <c:v>371.63</c:v>
                </c:pt>
                <c:pt idx="559">
                  <c:v>371.63</c:v>
                </c:pt>
                <c:pt idx="560">
                  <c:v>347.9</c:v>
                </c:pt>
                <c:pt idx="561">
                  <c:v>347.9</c:v>
                </c:pt>
                <c:pt idx="562">
                  <c:v>347.9</c:v>
                </c:pt>
                <c:pt idx="563">
                  <c:v>347.9</c:v>
                </c:pt>
                <c:pt idx="564">
                  <c:v>303.47000000000003</c:v>
                </c:pt>
                <c:pt idx="565">
                  <c:v>303.47000000000003</c:v>
                </c:pt>
                <c:pt idx="566">
                  <c:v>303.47000000000003</c:v>
                </c:pt>
                <c:pt idx="567">
                  <c:v>303.47000000000003</c:v>
                </c:pt>
                <c:pt idx="568">
                  <c:v>292.67</c:v>
                </c:pt>
                <c:pt idx="569">
                  <c:v>292.67</c:v>
                </c:pt>
                <c:pt idx="570">
                  <c:v>292.67</c:v>
                </c:pt>
                <c:pt idx="571">
                  <c:v>292.67</c:v>
                </c:pt>
                <c:pt idx="572">
                  <c:v>349</c:v>
                </c:pt>
                <c:pt idx="573">
                  <c:v>349</c:v>
                </c:pt>
                <c:pt idx="574">
                  <c:v>294.24</c:v>
                </c:pt>
                <c:pt idx="575">
                  <c:v>294.23</c:v>
                </c:pt>
                <c:pt idx="576">
                  <c:v>270.3</c:v>
                </c:pt>
                <c:pt idx="577">
                  <c:v>349</c:v>
                </c:pt>
                <c:pt idx="578">
                  <c:v>349</c:v>
                </c:pt>
                <c:pt idx="579">
                  <c:v>349</c:v>
                </c:pt>
                <c:pt idx="580">
                  <c:v>279.77999999999997</c:v>
                </c:pt>
                <c:pt idx="581">
                  <c:v>349</c:v>
                </c:pt>
                <c:pt idx="582">
                  <c:v>349</c:v>
                </c:pt>
                <c:pt idx="583">
                  <c:v>349</c:v>
                </c:pt>
                <c:pt idx="584">
                  <c:v>315.02999999999997</c:v>
                </c:pt>
                <c:pt idx="585">
                  <c:v>270.8</c:v>
                </c:pt>
                <c:pt idx="586">
                  <c:v>270.16000000000003</c:v>
                </c:pt>
                <c:pt idx="587">
                  <c:v>270.16000000000003</c:v>
                </c:pt>
                <c:pt idx="588">
                  <c:v>310.06</c:v>
                </c:pt>
                <c:pt idx="589">
                  <c:v>259.83999999999997</c:v>
                </c:pt>
                <c:pt idx="590">
                  <c:v>270.8</c:v>
                </c:pt>
                <c:pt idx="591">
                  <c:v>270.8</c:v>
                </c:pt>
                <c:pt idx="592">
                  <c:v>270.17</c:v>
                </c:pt>
                <c:pt idx="593">
                  <c:v>270.14999999999998</c:v>
                </c:pt>
                <c:pt idx="594">
                  <c:v>259.83999999999997</c:v>
                </c:pt>
                <c:pt idx="595">
                  <c:v>270.16000000000003</c:v>
                </c:pt>
                <c:pt idx="596">
                  <c:v>270.3</c:v>
                </c:pt>
                <c:pt idx="597">
                  <c:v>270.7</c:v>
                </c:pt>
                <c:pt idx="598">
                  <c:v>272.10000000000002</c:v>
                </c:pt>
                <c:pt idx="599">
                  <c:v>270.3</c:v>
                </c:pt>
                <c:pt idx="600">
                  <c:v>270.3</c:v>
                </c:pt>
                <c:pt idx="601">
                  <c:v>271.60000000000002</c:v>
                </c:pt>
                <c:pt idx="602">
                  <c:v>271.60000000000002</c:v>
                </c:pt>
                <c:pt idx="603">
                  <c:v>271.60000000000002</c:v>
                </c:pt>
                <c:pt idx="604">
                  <c:v>270.7</c:v>
                </c:pt>
                <c:pt idx="605">
                  <c:v>270.5</c:v>
                </c:pt>
                <c:pt idx="606">
                  <c:v>270.5</c:v>
                </c:pt>
                <c:pt idx="607">
                  <c:v>270.5</c:v>
                </c:pt>
                <c:pt idx="608">
                  <c:v>270.5</c:v>
                </c:pt>
                <c:pt idx="609">
                  <c:v>270.60000000000002</c:v>
                </c:pt>
                <c:pt idx="610">
                  <c:v>270.5</c:v>
                </c:pt>
                <c:pt idx="611">
                  <c:v>270.5</c:v>
                </c:pt>
                <c:pt idx="612">
                  <c:v>270.3</c:v>
                </c:pt>
                <c:pt idx="613">
                  <c:v>270.3</c:v>
                </c:pt>
                <c:pt idx="614">
                  <c:v>270.3</c:v>
                </c:pt>
                <c:pt idx="615">
                  <c:v>270.3</c:v>
                </c:pt>
                <c:pt idx="616">
                  <c:v>270.3</c:v>
                </c:pt>
                <c:pt idx="617">
                  <c:v>270.3</c:v>
                </c:pt>
                <c:pt idx="618">
                  <c:v>270.3</c:v>
                </c:pt>
                <c:pt idx="619">
                  <c:v>270.3</c:v>
                </c:pt>
                <c:pt idx="620">
                  <c:v>270.3</c:v>
                </c:pt>
                <c:pt idx="621">
                  <c:v>270.39999999999998</c:v>
                </c:pt>
                <c:pt idx="622">
                  <c:v>270.7</c:v>
                </c:pt>
                <c:pt idx="623">
                  <c:v>270.7</c:v>
                </c:pt>
                <c:pt idx="624">
                  <c:v>270.7</c:v>
                </c:pt>
                <c:pt idx="625">
                  <c:v>270.89999999999998</c:v>
                </c:pt>
                <c:pt idx="626">
                  <c:v>270.7</c:v>
                </c:pt>
                <c:pt idx="627">
                  <c:v>270.7</c:v>
                </c:pt>
                <c:pt idx="628">
                  <c:v>279</c:v>
                </c:pt>
                <c:pt idx="629">
                  <c:v>279</c:v>
                </c:pt>
                <c:pt idx="630">
                  <c:v>279</c:v>
                </c:pt>
                <c:pt idx="631">
                  <c:v>279</c:v>
                </c:pt>
                <c:pt idx="632">
                  <c:v>282.89</c:v>
                </c:pt>
                <c:pt idx="633">
                  <c:v>282.89</c:v>
                </c:pt>
                <c:pt idx="634">
                  <c:v>282.89</c:v>
                </c:pt>
                <c:pt idx="635">
                  <c:v>282.89</c:v>
                </c:pt>
                <c:pt idx="636">
                  <c:v>282.89</c:v>
                </c:pt>
                <c:pt idx="637">
                  <c:v>282.89</c:v>
                </c:pt>
                <c:pt idx="638">
                  <c:v>282.89</c:v>
                </c:pt>
                <c:pt idx="639">
                  <c:v>282.89</c:v>
                </c:pt>
                <c:pt idx="640">
                  <c:v>285.14999999999998</c:v>
                </c:pt>
                <c:pt idx="641">
                  <c:v>286.45</c:v>
                </c:pt>
                <c:pt idx="642">
                  <c:v>286.45</c:v>
                </c:pt>
                <c:pt idx="643">
                  <c:v>286.85000000000002</c:v>
                </c:pt>
                <c:pt idx="644">
                  <c:v>349</c:v>
                </c:pt>
                <c:pt idx="645">
                  <c:v>336.39</c:v>
                </c:pt>
                <c:pt idx="646">
                  <c:v>336.39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1300</c:v>
                </c:pt>
                <c:pt idx="651">
                  <c:v>1300</c:v>
                </c:pt>
                <c:pt idx="652">
                  <c:v>1300</c:v>
                </c:pt>
                <c:pt idx="653">
                  <c:v>1300</c:v>
                </c:pt>
                <c:pt idx="654">
                  <c:v>1300</c:v>
                </c:pt>
                <c:pt idx="655">
                  <c:v>1300</c:v>
                </c:pt>
                <c:pt idx="656">
                  <c:v>1300</c:v>
                </c:pt>
                <c:pt idx="657">
                  <c:v>1300</c:v>
                </c:pt>
                <c:pt idx="658">
                  <c:v>1300</c:v>
                </c:pt>
                <c:pt idx="659">
                  <c:v>1300</c:v>
                </c:pt>
                <c:pt idx="660">
                  <c:v>347.05</c:v>
                </c:pt>
                <c:pt idx="661">
                  <c:v>347.05</c:v>
                </c:pt>
                <c:pt idx="662">
                  <c:v>347.05</c:v>
                </c:pt>
                <c:pt idx="663">
                  <c:v>347.05</c:v>
                </c:pt>
                <c:pt idx="664">
                  <c:v>329.15</c:v>
                </c:pt>
                <c:pt idx="665">
                  <c:v>329.15</c:v>
                </c:pt>
                <c:pt idx="666">
                  <c:v>329.15</c:v>
                </c:pt>
                <c:pt idx="667">
                  <c:v>329.15</c:v>
                </c:pt>
                <c:pt idx="668">
                  <c:v>304.77999999999997</c:v>
                </c:pt>
                <c:pt idx="669">
                  <c:v>349</c:v>
                </c:pt>
                <c:pt idx="670">
                  <c:v>304.77999999999997</c:v>
                </c:pt>
                <c:pt idx="671">
                  <c:v>304.77999999999997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176.42</c:v>
                </c:pt>
                <c:pt idx="1">
                  <c:v>176.42</c:v>
                </c:pt>
                <c:pt idx="2">
                  <c:v>176.42</c:v>
                </c:pt>
                <c:pt idx="3">
                  <c:v>176.42</c:v>
                </c:pt>
                <c:pt idx="4">
                  <c:v>176.42</c:v>
                </c:pt>
                <c:pt idx="5">
                  <c:v>176.42</c:v>
                </c:pt>
                <c:pt idx="6">
                  <c:v>176.42</c:v>
                </c:pt>
                <c:pt idx="7">
                  <c:v>176.42</c:v>
                </c:pt>
                <c:pt idx="8">
                  <c:v>176.42</c:v>
                </c:pt>
                <c:pt idx="9">
                  <c:v>176.42</c:v>
                </c:pt>
                <c:pt idx="10">
                  <c:v>176.42</c:v>
                </c:pt>
                <c:pt idx="11">
                  <c:v>176.42</c:v>
                </c:pt>
                <c:pt idx="12">
                  <c:v>176.42</c:v>
                </c:pt>
                <c:pt idx="13">
                  <c:v>176.42</c:v>
                </c:pt>
                <c:pt idx="14">
                  <c:v>176.42</c:v>
                </c:pt>
                <c:pt idx="15">
                  <c:v>176.42</c:v>
                </c:pt>
                <c:pt idx="16">
                  <c:v>176.42</c:v>
                </c:pt>
                <c:pt idx="17">
                  <c:v>176.42</c:v>
                </c:pt>
                <c:pt idx="18">
                  <c:v>176.42</c:v>
                </c:pt>
                <c:pt idx="19">
                  <c:v>176.42</c:v>
                </c:pt>
                <c:pt idx="20">
                  <c:v>176.42</c:v>
                </c:pt>
                <c:pt idx="21">
                  <c:v>176.42</c:v>
                </c:pt>
                <c:pt idx="22">
                  <c:v>176.42</c:v>
                </c:pt>
                <c:pt idx="23">
                  <c:v>176.42</c:v>
                </c:pt>
                <c:pt idx="24">
                  <c:v>176.42</c:v>
                </c:pt>
                <c:pt idx="25">
                  <c:v>176.42</c:v>
                </c:pt>
                <c:pt idx="26">
                  <c:v>175.58</c:v>
                </c:pt>
                <c:pt idx="27">
                  <c:v>176.42</c:v>
                </c:pt>
                <c:pt idx="28">
                  <c:v>176.42</c:v>
                </c:pt>
                <c:pt idx="29">
                  <c:v>176.42</c:v>
                </c:pt>
                <c:pt idx="30">
                  <c:v>176.42</c:v>
                </c:pt>
                <c:pt idx="31">
                  <c:v>176.42</c:v>
                </c:pt>
                <c:pt idx="32">
                  <c:v>189.57</c:v>
                </c:pt>
                <c:pt idx="33">
                  <c:v>175.58</c:v>
                </c:pt>
                <c:pt idx="34">
                  <c:v>0</c:v>
                </c:pt>
                <c:pt idx="35">
                  <c:v>184.62</c:v>
                </c:pt>
                <c:pt idx="36">
                  <c:v>184.62</c:v>
                </c:pt>
                <c:pt idx="37">
                  <c:v>184.62</c:v>
                </c:pt>
                <c:pt idx="38">
                  <c:v>184.62</c:v>
                </c:pt>
                <c:pt idx="39">
                  <c:v>184.62</c:v>
                </c:pt>
                <c:pt idx="40">
                  <c:v>184.62</c:v>
                </c:pt>
                <c:pt idx="41">
                  <c:v>184.62</c:v>
                </c:pt>
                <c:pt idx="42">
                  <c:v>184.62</c:v>
                </c:pt>
                <c:pt idx="43">
                  <c:v>184.62</c:v>
                </c:pt>
                <c:pt idx="44">
                  <c:v>184.62</c:v>
                </c:pt>
                <c:pt idx="45">
                  <c:v>184.62</c:v>
                </c:pt>
                <c:pt idx="46">
                  <c:v>184.62</c:v>
                </c:pt>
                <c:pt idx="47">
                  <c:v>184.62</c:v>
                </c:pt>
                <c:pt idx="48">
                  <c:v>184.62</c:v>
                </c:pt>
                <c:pt idx="49">
                  <c:v>184.62</c:v>
                </c:pt>
                <c:pt idx="50">
                  <c:v>184.62</c:v>
                </c:pt>
                <c:pt idx="51">
                  <c:v>184.62</c:v>
                </c:pt>
                <c:pt idx="52">
                  <c:v>91.02</c:v>
                </c:pt>
                <c:pt idx="53">
                  <c:v>91.02</c:v>
                </c:pt>
                <c:pt idx="54">
                  <c:v>91.02</c:v>
                </c:pt>
                <c:pt idx="55">
                  <c:v>91.02</c:v>
                </c:pt>
                <c:pt idx="56">
                  <c:v>157</c:v>
                </c:pt>
                <c:pt idx="57">
                  <c:v>167</c:v>
                </c:pt>
                <c:pt idx="58">
                  <c:v>184.62</c:v>
                </c:pt>
                <c:pt idx="59">
                  <c:v>184.62</c:v>
                </c:pt>
                <c:pt idx="60">
                  <c:v>184.22</c:v>
                </c:pt>
                <c:pt idx="61">
                  <c:v>184.62</c:v>
                </c:pt>
                <c:pt idx="62">
                  <c:v>184.62</c:v>
                </c:pt>
                <c:pt idx="63">
                  <c:v>136.09</c:v>
                </c:pt>
                <c:pt idx="64">
                  <c:v>173.29</c:v>
                </c:pt>
                <c:pt idx="65">
                  <c:v>184.62</c:v>
                </c:pt>
                <c:pt idx="66">
                  <c:v>184.62</c:v>
                </c:pt>
                <c:pt idx="67">
                  <c:v>184.62</c:v>
                </c:pt>
                <c:pt idx="68">
                  <c:v>0</c:v>
                </c:pt>
                <c:pt idx="69">
                  <c:v>176.42</c:v>
                </c:pt>
                <c:pt idx="70">
                  <c:v>176.42</c:v>
                </c:pt>
                <c:pt idx="71">
                  <c:v>176.42</c:v>
                </c:pt>
                <c:pt idx="72">
                  <c:v>176.42</c:v>
                </c:pt>
                <c:pt idx="73">
                  <c:v>176.42</c:v>
                </c:pt>
                <c:pt idx="74">
                  <c:v>176.42</c:v>
                </c:pt>
                <c:pt idx="75">
                  <c:v>176.42</c:v>
                </c:pt>
                <c:pt idx="76">
                  <c:v>176.42</c:v>
                </c:pt>
                <c:pt idx="77">
                  <c:v>176.42</c:v>
                </c:pt>
                <c:pt idx="78">
                  <c:v>219.81</c:v>
                </c:pt>
                <c:pt idx="79">
                  <c:v>219.81</c:v>
                </c:pt>
                <c:pt idx="80">
                  <c:v>219.81</c:v>
                </c:pt>
                <c:pt idx="81">
                  <c:v>200</c:v>
                </c:pt>
                <c:pt idx="82">
                  <c:v>189.79</c:v>
                </c:pt>
                <c:pt idx="83">
                  <c:v>185.48</c:v>
                </c:pt>
                <c:pt idx="84">
                  <c:v>176.42</c:v>
                </c:pt>
                <c:pt idx="85">
                  <c:v>176.42</c:v>
                </c:pt>
                <c:pt idx="86">
                  <c:v>176.42</c:v>
                </c:pt>
                <c:pt idx="87">
                  <c:v>176.42</c:v>
                </c:pt>
                <c:pt idx="88">
                  <c:v>176.42</c:v>
                </c:pt>
                <c:pt idx="89">
                  <c:v>176.42</c:v>
                </c:pt>
                <c:pt idx="90">
                  <c:v>176.42</c:v>
                </c:pt>
                <c:pt idx="91">
                  <c:v>176.42</c:v>
                </c:pt>
                <c:pt idx="92">
                  <c:v>176.42</c:v>
                </c:pt>
                <c:pt idx="93">
                  <c:v>176.42</c:v>
                </c:pt>
                <c:pt idx="94">
                  <c:v>176.42</c:v>
                </c:pt>
                <c:pt idx="95">
                  <c:v>176.42</c:v>
                </c:pt>
                <c:pt idx="96">
                  <c:v>175.78</c:v>
                </c:pt>
                <c:pt idx="97">
                  <c:v>175.78</c:v>
                </c:pt>
                <c:pt idx="98">
                  <c:v>175.78</c:v>
                </c:pt>
                <c:pt idx="99">
                  <c:v>175.78</c:v>
                </c:pt>
                <c:pt idx="100">
                  <c:v>175.78</c:v>
                </c:pt>
                <c:pt idx="101">
                  <c:v>175.78</c:v>
                </c:pt>
                <c:pt idx="102">
                  <c:v>175.78</c:v>
                </c:pt>
                <c:pt idx="103">
                  <c:v>175.78</c:v>
                </c:pt>
                <c:pt idx="104">
                  <c:v>175.77</c:v>
                </c:pt>
                <c:pt idx="105">
                  <c:v>175.77</c:v>
                </c:pt>
                <c:pt idx="106">
                  <c:v>175.79</c:v>
                </c:pt>
                <c:pt idx="107">
                  <c:v>175.8</c:v>
                </c:pt>
                <c:pt idx="108">
                  <c:v>175.8</c:v>
                </c:pt>
                <c:pt idx="109">
                  <c:v>175.8</c:v>
                </c:pt>
                <c:pt idx="110">
                  <c:v>175.8</c:v>
                </c:pt>
                <c:pt idx="111">
                  <c:v>175.8</c:v>
                </c:pt>
                <c:pt idx="112">
                  <c:v>176.45</c:v>
                </c:pt>
                <c:pt idx="113">
                  <c:v>176.45</c:v>
                </c:pt>
                <c:pt idx="114">
                  <c:v>176.45</c:v>
                </c:pt>
                <c:pt idx="115">
                  <c:v>176.45</c:v>
                </c:pt>
                <c:pt idx="116">
                  <c:v>138.88999999999999</c:v>
                </c:pt>
                <c:pt idx="117">
                  <c:v>176.45</c:v>
                </c:pt>
                <c:pt idx="118">
                  <c:v>176.45</c:v>
                </c:pt>
                <c:pt idx="119">
                  <c:v>176.45</c:v>
                </c:pt>
                <c:pt idx="120">
                  <c:v>0</c:v>
                </c:pt>
                <c:pt idx="121">
                  <c:v>176.45</c:v>
                </c:pt>
                <c:pt idx="122">
                  <c:v>175.99</c:v>
                </c:pt>
                <c:pt idx="123">
                  <c:v>176</c:v>
                </c:pt>
                <c:pt idx="124">
                  <c:v>173.29</c:v>
                </c:pt>
                <c:pt idx="125">
                  <c:v>176.45</c:v>
                </c:pt>
                <c:pt idx="126">
                  <c:v>176.45</c:v>
                </c:pt>
                <c:pt idx="127">
                  <c:v>176.45</c:v>
                </c:pt>
                <c:pt idx="128">
                  <c:v>176.45</c:v>
                </c:pt>
                <c:pt idx="129">
                  <c:v>176.45</c:v>
                </c:pt>
                <c:pt idx="130">
                  <c:v>176.45</c:v>
                </c:pt>
                <c:pt idx="131">
                  <c:v>176.45</c:v>
                </c:pt>
                <c:pt idx="132">
                  <c:v>176.45</c:v>
                </c:pt>
                <c:pt idx="133">
                  <c:v>176.45</c:v>
                </c:pt>
                <c:pt idx="134">
                  <c:v>176.45</c:v>
                </c:pt>
                <c:pt idx="135">
                  <c:v>176.08</c:v>
                </c:pt>
                <c:pt idx="136">
                  <c:v>176.08</c:v>
                </c:pt>
                <c:pt idx="137">
                  <c:v>176.45</c:v>
                </c:pt>
                <c:pt idx="138">
                  <c:v>175.99</c:v>
                </c:pt>
                <c:pt idx="139">
                  <c:v>176.45</c:v>
                </c:pt>
                <c:pt idx="140">
                  <c:v>176.45</c:v>
                </c:pt>
                <c:pt idx="141">
                  <c:v>176.45</c:v>
                </c:pt>
                <c:pt idx="142">
                  <c:v>176.45</c:v>
                </c:pt>
                <c:pt idx="143">
                  <c:v>176.45</c:v>
                </c:pt>
                <c:pt idx="144">
                  <c:v>176.45</c:v>
                </c:pt>
                <c:pt idx="145">
                  <c:v>176.45</c:v>
                </c:pt>
                <c:pt idx="146">
                  <c:v>176.45</c:v>
                </c:pt>
                <c:pt idx="147">
                  <c:v>176.45</c:v>
                </c:pt>
                <c:pt idx="148">
                  <c:v>176.45</c:v>
                </c:pt>
                <c:pt idx="149">
                  <c:v>176.45</c:v>
                </c:pt>
                <c:pt idx="150">
                  <c:v>176.45</c:v>
                </c:pt>
                <c:pt idx="151">
                  <c:v>176.45</c:v>
                </c:pt>
                <c:pt idx="152">
                  <c:v>175.77</c:v>
                </c:pt>
                <c:pt idx="153">
                  <c:v>173.89</c:v>
                </c:pt>
                <c:pt idx="154">
                  <c:v>176.45</c:v>
                </c:pt>
                <c:pt idx="155">
                  <c:v>176.45</c:v>
                </c:pt>
                <c:pt idx="156">
                  <c:v>176</c:v>
                </c:pt>
                <c:pt idx="157">
                  <c:v>176.45</c:v>
                </c:pt>
                <c:pt idx="158">
                  <c:v>176.45</c:v>
                </c:pt>
                <c:pt idx="159">
                  <c:v>176.45</c:v>
                </c:pt>
                <c:pt idx="160">
                  <c:v>172</c:v>
                </c:pt>
                <c:pt idx="161">
                  <c:v>172</c:v>
                </c:pt>
                <c:pt idx="162">
                  <c:v>189.81</c:v>
                </c:pt>
                <c:pt idx="163">
                  <c:v>189.81</c:v>
                </c:pt>
                <c:pt idx="164">
                  <c:v>0</c:v>
                </c:pt>
                <c:pt idx="165">
                  <c:v>0</c:v>
                </c:pt>
                <c:pt idx="166">
                  <c:v>219.81</c:v>
                </c:pt>
                <c:pt idx="167">
                  <c:v>219.81</c:v>
                </c:pt>
                <c:pt idx="168">
                  <c:v>176</c:v>
                </c:pt>
                <c:pt idx="169">
                  <c:v>219.84</c:v>
                </c:pt>
                <c:pt idx="170">
                  <c:v>219.84</c:v>
                </c:pt>
                <c:pt idx="171">
                  <c:v>219.84</c:v>
                </c:pt>
                <c:pt idx="172">
                  <c:v>219.84</c:v>
                </c:pt>
                <c:pt idx="173">
                  <c:v>219.84</c:v>
                </c:pt>
                <c:pt idx="174">
                  <c:v>219.84</c:v>
                </c:pt>
                <c:pt idx="175">
                  <c:v>219.84</c:v>
                </c:pt>
                <c:pt idx="176">
                  <c:v>219.81</c:v>
                </c:pt>
                <c:pt idx="177">
                  <c:v>219.81</c:v>
                </c:pt>
                <c:pt idx="178">
                  <c:v>189.81</c:v>
                </c:pt>
                <c:pt idx="179">
                  <c:v>189.81</c:v>
                </c:pt>
                <c:pt idx="180">
                  <c:v>173.89</c:v>
                </c:pt>
                <c:pt idx="181">
                  <c:v>219.81</c:v>
                </c:pt>
                <c:pt idx="182">
                  <c:v>219.81</c:v>
                </c:pt>
                <c:pt idx="183">
                  <c:v>219.81</c:v>
                </c:pt>
                <c:pt idx="184">
                  <c:v>219.81</c:v>
                </c:pt>
                <c:pt idx="185">
                  <c:v>175.69</c:v>
                </c:pt>
                <c:pt idx="186">
                  <c:v>175.68</c:v>
                </c:pt>
                <c:pt idx="187">
                  <c:v>219.81</c:v>
                </c:pt>
                <c:pt idx="188">
                  <c:v>189.66</c:v>
                </c:pt>
                <c:pt idx="189">
                  <c:v>189.66</c:v>
                </c:pt>
                <c:pt idx="190">
                  <c:v>176.45</c:v>
                </c:pt>
                <c:pt idx="191">
                  <c:v>176.45</c:v>
                </c:pt>
                <c:pt idx="192">
                  <c:v>180.09</c:v>
                </c:pt>
                <c:pt idx="193">
                  <c:v>180.09</c:v>
                </c:pt>
                <c:pt idx="194">
                  <c:v>180.09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184.77</c:v>
                </c:pt>
                <c:pt idx="213">
                  <c:v>184.77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185.06</c:v>
                </c:pt>
                <c:pt idx="218">
                  <c:v>185.06</c:v>
                </c:pt>
                <c:pt idx="219">
                  <c:v>185.06</c:v>
                </c:pt>
                <c:pt idx="220">
                  <c:v>149</c:v>
                </c:pt>
                <c:pt idx="221">
                  <c:v>185.06</c:v>
                </c:pt>
                <c:pt idx="222">
                  <c:v>185.06</c:v>
                </c:pt>
                <c:pt idx="223">
                  <c:v>185.06</c:v>
                </c:pt>
                <c:pt idx="224">
                  <c:v>185.06</c:v>
                </c:pt>
                <c:pt idx="225">
                  <c:v>185.06</c:v>
                </c:pt>
                <c:pt idx="226">
                  <c:v>185.06</c:v>
                </c:pt>
                <c:pt idx="227">
                  <c:v>185.06</c:v>
                </c:pt>
                <c:pt idx="228">
                  <c:v>185.06</c:v>
                </c:pt>
                <c:pt idx="229">
                  <c:v>185.06</c:v>
                </c:pt>
                <c:pt idx="230">
                  <c:v>185.06</c:v>
                </c:pt>
                <c:pt idx="231">
                  <c:v>185.06</c:v>
                </c:pt>
                <c:pt idx="232">
                  <c:v>184.6</c:v>
                </c:pt>
                <c:pt idx="233">
                  <c:v>185.06</c:v>
                </c:pt>
                <c:pt idx="234">
                  <c:v>185.06</c:v>
                </c:pt>
                <c:pt idx="235">
                  <c:v>185.06</c:v>
                </c:pt>
                <c:pt idx="236">
                  <c:v>184.77</c:v>
                </c:pt>
                <c:pt idx="237">
                  <c:v>185.06</c:v>
                </c:pt>
                <c:pt idx="238">
                  <c:v>185.06</c:v>
                </c:pt>
                <c:pt idx="239">
                  <c:v>184.6</c:v>
                </c:pt>
                <c:pt idx="240">
                  <c:v>185.06</c:v>
                </c:pt>
                <c:pt idx="241">
                  <c:v>184.6</c:v>
                </c:pt>
                <c:pt idx="242">
                  <c:v>185.06</c:v>
                </c:pt>
                <c:pt idx="243">
                  <c:v>185.06</c:v>
                </c:pt>
                <c:pt idx="244">
                  <c:v>185.06</c:v>
                </c:pt>
                <c:pt idx="245">
                  <c:v>185.06</c:v>
                </c:pt>
                <c:pt idx="246">
                  <c:v>185.06</c:v>
                </c:pt>
                <c:pt idx="247">
                  <c:v>184.6</c:v>
                </c:pt>
                <c:pt idx="248">
                  <c:v>185.06</c:v>
                </c:pt>
                <c:pt idx="249">
                  <c:v>184.6</c:v>
                </c:pt>
                <c:pt idx="250">
                  <c:v>184.6</c:v>
                </c:pt>
                <c:pt idx="251">
                  <c:v>185.06</c:v>
                </c:pt>
                <c:pt idx="252">
                  <c:v>184.6</c:v>
                </c:pt>
                <c:pt idx="253">
                  <c:v>185.06</c:v>
                </c:pt>
                <c:pt idx="254">
                  <c:v>184.6</c:v>
                </c:pt>
                <c:pt idx="255">
                  <c:v>185.06</c:v>
                </c:pt>
                <c:pt idx="256">
                  <c:v>158.91999999999999</c:v>
                </c:pt>
                <c:pt idx="257">
                  <c:v>185.06</c:v>
                </c:pt>
                <c:pt idx="258">
                  <c:v>184.6</c:v>
                </c:pt>
                <c:pt idx="259">
                  <c:v>184.6</c:v>
                </c:pt>
                <c:pt idx="260">
                  <c:v>0</c:v>
                </c:pt>
                <c:pt idx="261">
                  <c:v>185.06</c:v>
                </c:pt>
                <c:pt idx="262">
                  <c:v>185.06</c:v>
                </c:pt>
                <c:pt idx="263">
                  <c:v>185.06</c:v>
                </c:pt>
                <c:pt idx="264">
                  <c:v>185.06</c:v>
                </c:pt>
                <c:pt idx="265">
                  <c:v>185.06</c:v>
                </c:pt>
                <c:pt idx="266">
                  <c:v>185.06</c:v>
                </c:pt>
                <c:pt idx="267">
                  <c:v>185.06</c:v>
                </c:pt>
                <c:pt idx="268">
                  <c:v>184.6</c:v>
                </c:pt>
                <c:pt idx="269">
                  <c:v>185.06</c:v>
                </c:pt>
                <c:pt idx="270">
                  <c:v>185.06</c:v>
                </c:pt>
                <c:pt idx="271">
                  <c:v>184.6</c:v>
                </c:pt>
                <c:pt idx="272">
                  <c:v>185.06</c:v>
                </c:pt>
                <c:pt idx="273">
                  <c:v>185.06</c:v>
                </c:pt>
                <c:pt idx="274">
                  <c:v>185.06</c:v>
                </c:pt>
                <c:pt idx="275">
                  <c:v>185.06</c:v>
                </c:pt>
                <c:pt idx="276">
                  <c:v>185.06</c:v>
                </c:pt>
                <c:pt idx="277">
                  <c:v>185.06</c:v>
                </c:pt>
                <c:pt idx="278">
                  <c:v>185.06</c:v>
                </c:pt>
                <c:pt idx="279">
                  <c:v>184.77</c:v>
                </c:pt>
                <c:pt idx="280">
                  <c:v>198.39</c:v>
                </c:pt>
                <c:pt idx="281">
                  <c:v>217.15</c:v>
                </c:pt>
                <c:pt idx="282">
                  <c:v>184.07</c:v>
                </c:pt>
                <c:pt idx="283">
                  <c:v>184.07</c:v>
                </c:pt>
                <c:pt idx="284">
                  <c:v>184.09</c:v>
                </c:pt>
                <c:pt idx="285">
                  <c:v>184.09</c:v>
                </c:pt>
                <c:pt idx="286">
                  <c:v>184.07</c:v>
                </c:pt>
                <c:pt idx="287">
                  <c:v>184.07</c:v>
                </c:pt>
                <c:pt idx="288">
                  <c:v>149.34</c:v>
                </c:pt>
                <c:pt idx="289">
                  <c:v>149.34</c:v>
                </c:pt>
                <c:pt idx="290">
                  <c:v>167.75</c:v>
                </c:pt>
                <c:pt idx="291">
                  <c:v>167.75</c:v>
                </c:pt>
                <c:pt idx="292">
                  <c:v>151.4</c:v>
                </c:pt>
                <c:pt idx="293">
                  <c:v>167.75</c:v>
                </c:pt>
                <c:pt idx="294">
                  <c:v>167.75</c:v>
                </c:pt>
                <c:pt idx="295">
                  <c:v>167.75</c:v>
                </c:pt>
                <c:pt idx="296">
                  <c:v>167.75</c:v>
                </c:pt>
                <c:pt idx="297">
                  <c:v>167.75</c:v>
                </c:pt>
                <c:pt idx="298">
                  <c:v>167.75</c:v>
                </c:pt>
                <c:pt idx="299">
                  <c:v>167.75</c:v>
                </c:pt>
                <c:pt idx="300">
                  <c:v>167.75</c:v>
                </c:pt>
                <c:pt idx="301">
                  <c:v>167.75</c:v>
                </c:pt>
                <c:pt idx="302">
                  <c:v>167.75</c:v>
                </c:pt>
                <c:pt idx="303">
                  <c:v>167.75</c:v>
                </c:pt>
                <c:pt idx="304">
                  <c:v>167.75</c:v>
                </c:pt>
                <c:pt idx="305">
                  <c:v>167.75</c:v>
                </c:pt>
                <c:pt idx="306">
                  <c:v>0</c:v>
                </c:pt>
                <c:pt idx="307">
                  <c:v>0</c:v>
                </c:pt>
                <c:pt idx="308">
                  <c:v>167.75</c:v>
                </c:pt>
                <c:pt idx="309">
                  <c:v>167.75</c:v>
                </c:pt>
                <c:pt idx="310">
                  <c:v>167.75</c:v>
                </c:pt>
                <c:pt idx="311">
                  <c:v>167.75</c:v>
                </c:pt>
                <c:pt idx="312">
                  <c:v>167.75</c:v>
                </c:pt>
                <c:pt idx="313">
                  <c:v>167.75</c:v>
                </c:pt>
                <c:pt idx="314">
                  <c:v>167.75</c:v>
                </c:pt>
                <c:pt idx="315">
                  <c:v>167.75</c:v>
                </c:pt>
                <c:pt idx="316">
                  <c:v>167.75</c:v>
                </c:pt>
                <c:pt idx="317">
                  <c:v>167.75</c:v>
                </c:pt>
                <c:pt idx="318">
                  <c:v>167.75</c:v>
                </c:pt>
                <c:pt idx="319">
                  <c:v>167.75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174.89</c:v>
                </c:pt>
                <c:pt idx="325">
                  <c:v>0</c:v>
                </c:pt>
                <c:pt idx="326">
                  <c:v>0</c:v>
                </c:pt>
                <c:pt idx="327">
                  <c:v>172</c:v>
                </c:pt>
                <c:pt idx="328">
                  <c:v>124</c:v>
                </c:pt>
                <c:pt idx="329">
                  <c:v>124</c:v>
                </c:pt>
                <c:pt idx="330">
                  <c:v>0</c:v>
                </c:pt>
                <c:pt idx="331">
                  <c:v>172.34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167.75</c:v>
                </c:pt>
                <c:pt idx="345">
                  <c:v>167.75</c:v>
                </c:pt>
                <c:pt idx="346">
                  <c:v>167.75</c:v>
                </c:pt>
                <c:pt idx="347">
                  <c:v>167.75</c:v>
                </c:pt>
                <c:pt idx="348">
                  <c:v>167.75</c:v>
                </c:pt>
                <c:pt idx="349">
                  <c:v>167.75</c:v>
                </c:pt>
                <c:pt idx="350">
                  <c:v>167.75</c:v>
                </c:pt>
                <c:pt idx="351">
                  <c:v>167.75</c:v>
                </c:pt>
                <c:pt idx="352">
                  <c:v>0</c:v>
                </c:pt>
                <c:pt idx="353">
                  <c:v>116.29</c:v>
                </c:pt>
                <c:pt idx="354">
                  <c:v>116.29</c:v>
                </c:pt>
                <c:pt idx="355">
                  <c:v>116.29</c:v>
                </c:pt>
                <c:pt idx="356">
                  <c:v>149.35</c:v>
                </c:pt>
                <c:pt idx="357">
                  <c:v>189.89</c:v>
                </c:pt>
                <c:pt idx="358">
                  <c:v>219.9</c:v>
                </c:pt>
                <c:pt idx="359">
                  <c:v>0</c:v>
                </c:pt>
                <c:pt idx="360">
                  <c:v>219.88</c:v>
                </c:pt>
                <c:pt idx="361">
                  <c:v>219.88</c:v>
                </c:pt>
                <c:pt idx="362">
                  <c:v>219.88</c:v>
                </c:pt>
                <c:pt idx="363">
                  <c:v>219.88</c:v>
                </c:pt>
                <c:pt idx="364">
                  <c:v>116.29</c:v>
                </c:pt>
                <c:pt idx="365">
                  <c:v>116.29</c:v>
                </c:pt>
                <c:pt idx="366">
                  <c:v>116.29</c:v>
                </c:pt>
                <c:pt idx="367">
                  <c:v>219.89</c:v>
                </c:pt>
                <c:pt idx="368">
                  <c:v>219.9</c:v>
                </c:pt>
                <c:pt idx="369">
                  <c:v>0</c:v>
                </c:pt>
                <c:pt idx="370">
                  <c:v>115.69</c:v>
                </c:pt>
                <c:pt idx="371">
                  <c:v>179.89</c:v>
                </c:pt>
                <c:pt idx="372">
                  <c:v>0</c:v>
                </c:pt>
                <c:pt idx="373">
                  <c:v>0.08</c:v>
                </c:pt>
                <c:pt idx="374">
                  <c:v>0</c:v>
                </c:pt>
                <c:pt idx="375">
                  <c:v>116.49</c:v>
                </c:pt>
                <c:pt idx="376">
                  <c:v>113.37</c:v>
                </c:pt>
                <c:pt idx="377">
                  <c:v>113.37</c:v>
                </c:pt>
                <c:pt idx="378">
                  <c:v>113.37</c:v>
                </c:pt>
                <c:pt idx="379">
                  <c:v>113.37</c:v>
                </c:pt>
                <c:pt idx="380">
                  <c:v>113.37</c:v>
                </c:pt>
                <c:pt idx="381">
                  <c:v>113.37</c:v>
                </c:pt>
                <c:pt idx="382">
                  <c:v>113.37</c:v>
                </c:pt>
                <c:pt idx="383">
                  <c:v>113.37</c:v>
                </c:pt>
                <c:pt idx="384">
                  <c:v>0</c:v>
                </c:pt>
                <c:pt idx="385">
                  <c:v>149.5</c:v>
                </c:pt>
                <c:pt idx="386">
                  <c:v>149.51</c:v>
                </c:pt>
                <c:pt idx="387">
                  <c:v>0</c:v>
                </c:pt>
                <c:pt idx="388">
                  <c:v>149.51</c:v>
                </c:pt>
                <c:pt idx="389">
                  <c:v>149.52000000000001</c:v>
                </c:pt>
                <c:pt idx="390">
                  <c:v>160.61000000000001</c:v>
                </c:pt>
                <c:pt idx="391">
                  <c:v>156.56</c:v>
                </c:pt>
                <c:pt idx="392">
                  <c:v>149.80000000000001</c:v>
                </c:pt>
                <c:pt idx="393">
                  <c:v>160.41</c:v>
                </c:pt>
                <c:pt idx="394">
                  <c:v>152.19</c:v>
                </c:pt>
                <c:pt idx="395">
                  <c:v>149.69999999999999</c:v>
                </c:pt>
                <c:pt idx="396">
                  <c:v>0</c:v>
                </c:pt>
                <c:pt idx="397">
                  <c:v>152.19</c:v>
                </c:pt>
                <c:pt idx="398">
                  <c:v>149.52000000000001</c:v>
                </c:pt>
                <c:pt idx="399">
                  <c:v>149.71</c:v>
                </c:pt>
                <c:pt idx="400">
                  <c:v>119.62</c:v>
                </c:pt>
                <c:pt idx="401">
                  <c:v>119.62</c:v>
                </c:pt>
                <c:pt idx="402">
                  <c:v>152.19</c:v>
                </c:pt>
                <c:pt idx="403">
                  <c:v>149.71</c:v>
                </c:pt>
                <c:pt idx="404">
                  <c:v>0.1</c:v>
                </c:pt>
                <c:pt idx="405">
                  <c:v>0.1</c:v>
                </c:pt>
                <c:pt idx="406">
                  <c:v>161</c:v>
                </c:pt>
                <c:pt idx="407">
                  <c:v>160.61000000000001</c:v>
                </c:pt>
                <c:pt idx="408">
                  <c:v>146.91999999999999</c:v>
                </c:pt>
                <c:pt idx="409">
                  <c:v>146.91999999999999</c:v>
                </c:pt>
                <c:pt idx="410">
                  <c:v>160.61000000000001</c:v>
                </c:pt>
                <c:pt idx="411">
                  <c:v>160.61000000000001</c:v>
                </c:pt>
                <c:pt idx="412">
                  <c:v>149.19</c:v>
                </c:pt>
                <c:pt idx="413">
                  <c:v>0</c:v>
                </c:pt>
                <c:pt idx="414">
                  <c:v>149.51</c:v>
                </c:pt>
                <c:pt idx="415">
                  <c:v>149.51</c:v>
                </c:pt>
                <c:pt idx="416">
                  <c:v>149.51</c:v>
                </c:pt>
                <c:pt idx="417">
                  <c:v>149.51</c:v>
                </c:pt>
                <c:pt idx="418">
                  <c:v>149</c:v>
                </c:pt>
                <c:pt idx="419">
                  <c:v>149.51</c:v>
                </c:pt>
                <c:pt idx="420">
                  <c:v>149.51</c:v>
                </c:pt>
                <c:pt idx="421">
                  <c:v>147.49</c:v>
                </c:pt>
                <c:pt idx="422">
                  <c:v>161.82</c:v>
                </c:pt>
                <c:pt idx="423">
                  <c:v>161</c:v>
                </c:pt>
                <c:pt idx="424">
                  <c:v>149.81</c:v>
                </c:pt>
                <c:pt idx="425">
                  <c:v>156.56</c:v>
                </c:pt>
                <c:pt idx="426">
                  <c:v>156.56</c:v>
                </c:pt>
                <c:pt idx="427">
                  <c:v>161</c:v>
                </c:pt>
                <c:pt idx="428">
                  <c:v>156</c:v>
                </c:pt>
                <c:pt idx="429">
                  <c:v>165.01</c:v>
                </c:pt>
                <c:pt idx="430">
                  <c:v>165.01</c:v>
                </c:pt>
                <c:pt idx="431">
                  <c:v>166</c:v>
                </c:pt>
                <c:pt idx="432">
                  <c:v>158.91999999999999</c:v>
                </c:pt>
                <c:pt idx="433">
                  <c:v>160.41</c:v>
                </c:pt>
                <c:pt idx="434">
                  <c:v>160.41</c:v>
                </c:pt>
                <c:pt idx="435">
                  <c:v>161.82</c:v>
                </c:pt>
                <c:pt idx="436">
                  <c:v>161.81</c:v>
                </c:pt>
                <c:pt idx="437">
                  <c:v>161.81</c:v>
                </c:pt>
                <c:pt idx="438">
                  <c:v>161.83000000000001</c:v>
                </c:pt>
                <c:pt idx="439">
                  <c:v>161.81</c:v>
                </c:pt>
                <c:pt idx="440">
                  <c:v>149.72</c:v>
                </c:pt>
                <c:pt idx="441">
                  <c:v>160.41</c:v>
                </c:pt>
                <c:pt idx="442">
                  <c:v>161.86000000000001</c:v>
                </c:pt>
                <c:pt idx="443">
                  <c:v>166</c:v>
                </c:pt>
                <c:pt idx="444">
                  <c:v>161.83000000000001</c:v>
                </c:pt>
                <c:pt idx="445">
                  <c:v>161.85</c:v>
                </c:pt>
                <c:pt idx="446">
                  <c:v>165.01</c:v>
                </c:pt>
                <c:pt idx="447">
                  <c:v>165.01</c:v>
                </c:pt>
                <c:pt idx="448">
                  <c:v>0</c:v>
                </c:pt>
                <c:pt idx="449">
                  <c:v>165.01</c:v>
                </c:pt>
                <c:pt idx="450">
                  <c:v>179.34</c:v>
                </c:pt>
                <c:pt idx="451">
                  <c:v>151.09</c:v>
                </c:pt>
                <c:pt idx="452">
                  <c:v>166</c:v>
                </c:pt>
                <c:pt idx="453">
                  <c:v>171</c:v>
                </c:pt>
                <c:pt idx="454">
                  <c:v>148.29</c:v>
                </c:pt>
                <c:pt idx="455">
                  <c:v>195.14</c:v>
                </c:pt>
                <c:pt idx="456">
                  <c:v>205.11</c:v>
                </c:pt>
                <c:pt idx="457">
                  <c:v>205.11</c:v>
                </c:pt>
                <c:pt idx="458">
                  <c:v>205.11</c:v>
                </c:pt>
                <c:pt idx="459">
                  <c:v>205.11</c:v>
                </c:pt>
                <c:pt idx="460">
                  <c:v>148.29</c:v>
                </c:pt>
                <c:pt idx="461">
                  <c:v>149</c:v>
                </c:pt>
                <c:pt idx="462">
                  <c:v>149</c:v>
                </c:pt>
                <c:pt idx="463">
                  <c:v>149</c:v>
                </c:pt>
                <c:pt idx="464">
                  <c:v>205.13</c:v>
                </c:pt>
                <c:pt idx="465">
                  <c:v>205.13</c:v>
                </c:pt>
                <c:pt idx="466">
                  <c:v>205.11</c:v>
                </c:pt>
                <c:pt idx="467">
                  <c:v>205.11</c:v>
                </c:pt>
                <c:pt idx="468">
                  <c:v>195.14</c:v>
                </c:pt>
                <c:pt idx="469">
                  <c:v>0</c:v>
                </c:pt>
                <c:pt idx="470">
                  <c:v>195.13</c:v>
                </c:pt>
                <c:pt idx="471">
                  <c:v>195.12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165.01</c:v>
                </c:pt>
                <c:pt idx="479">
                  <c:v>165.01</c:v>
                </c:pt>
                <c:pt idx="480">
                  <c:v>167</c:v>
                </c:pt>
                <c:pt idx="481">
                  <c:v>179.23</c:v>
                </c:pt>
                <c:pt idx="482">
                  <c:v>179.23</c:v>
                </c:pt>
                <c:pt idx="483">
                  <c:v>179.23</c:v>
                </c:pt>
                <c:pt idx="484">
                  <c:v>157</c:v>
                </c:pt>
                <c:pt idx="485">
                  <c:v>159.16999999999999</c:v>
                </c:pt>
                <c:pt idx="486">
                  <c:v>167</c:v>
                </c:pt>
                <c:pt idx="487">
                  <c:v>179.46</c:v>
                </c:pt>
                <c:pt idx="488">
                  <c:v>157</c:v>
                </c:pt>
                <c:pt idx="489">
                  <c:v>159.16999999999999</c:v>
                </c:pt>
                <c:pt idx="490">
                  <c:v>159.16999999999999</c:v>
                </c:pt>
                <c:pt idx="491">
                  <c:v>159.16999999999999</c:v>
                </c:pt>
                <c:pt idx="492">
                  <c:v>151.31</c:v>
                </c:pt>
                <c:pt idx="493">
                  <c:v>150.94999999999999</c:v>
                </c:pt>
                <c:pt idx="494">
                  <c:v>151.02000000000001</c:v>
                </c:pt>
                <c:pt idx="495">
                  <c:v>151.02000000000001</c:v>
                </c:pt>
                <c:pt idx="496">
                  <c:v>148.26</c:v>
                </c:pt>
                <c:pt idx="497">
                  <c:v>150.86000000000001</c:v>
                </c:pt>
                <c:pt idx="498">
                  <c:v>150.87</c:v>
                </c:pt>
                <c:pt idx="499">
                  <c:v>151.02000000000001</c:v>
                </c:pt>
                <c:pt idx="500">
                  <c:v>151.02000000000001</c:v>
                </c:pt>
                <c:pt idx="501">
                  <c:v>151.02000000000001</c:v>
                </c:pt>
                <c:pt idx="502">
                  <c:v>151.02000000000001</c:v>
                </c:pt>
                <c:pt idx="503">
                  <c:v>151.02000000000001</c:v>
                </c:pt>
                <c:pt idx="504">
                  <c:v>151.31</c:v>
                </c:pt>
                <c:pt idx="505">
                  <c:v>150.94999999999999</c:v>
                </c:pt>
                <c:pt idx="506">
                  <c:v>151.31</c:v>
                </c:pt>
                <c:pt idx="507">
                  <c:v>151.31</c:v>
                </c:pt>
                <c:pt idx="508">
                  <c:v>150.29</c:v>
                </c:pt>
                <c:pt idx="509">
                  <c:v>150.94999999999999</c:v>
                </c:pt>
                <c:pt idx="510">
                  <c:v>151.02000000000001</c:v>
                </c:pt>
                <c:pt idx="511">
                  <c:v>150.87</c:v>
                </c:pt>
                <c:pt idx="512">
                  <c:v>150.09</c:v>
                </c:pt>
                <c:pt idx="513">
                  <c:v>151.02000000000001</c:v>
                </c:pt>
                <c:pt idx="514">
                  <c:v>150.93</c:v>
                </c:pt>
                <c:pt idx="515">
                  <c:v>150.9</c:v>
                </c:pt>
                <c:pt idx="516">
                  <c:v>151.02000000000001</c:v>
                </c:pt>
                <c:pt idx="517">
                  <c:v>151.02000000000001</c:v>
                </c:pt>
                <c:pt idx="518">
                  <c:v>151.31</c:v>
                </c:pt>
                <c:pt idx="519">
                  <c:v>151.02000000000001</c:v>
                </c:pt>
                <c:pt idx="520">
                  <c:v>150.87</c:v>
                </c:pt>
                <c:pt idx="521">
                  <c:v>132</c:v>
                </c:pt>
                <c:pt idx="522">
                  <c:v>150.88</c:v>
                </c:pt>
                <c:pt idx="523">
                  <c:v>150.9</c:v>
                </c:pt>
                <c:pt idx="524">
                  <c:v>151.02000000000001</c:v>
                </c:pt>
                <c:pt idx="525">
                  <c:v>151.02000000000001</c:v>
                </c:pt>
                <c:pt idx="526">
                  <c:v>157</c:v>
                </c:pt>
                <c:pt idx="527">
                  <c:v>150.96</c:v>
                </c:pt>
                <c:pt idx="528">
                  <c:v>150.96</c:v>
                </c:pt>
                <c:pt idx="529">
                  <c:v>167</c:v>
                </c:pt>
                <c:pt idx="530">
                  <c:v>167</c:v>
                </c:pt>
                <c:pt idx="531">
                  <c:v>172</c:v>
                </c:pt>
                <c:pt idx="532">
                  <c:v>172</c:v>
                </c:pt>
                <c:pt idx="533">
                  <c:v>0</c:v>
                </c:pt>
                <c:pt idx="534">
                  <c:v>172</c:v>
                </c:pt>
                <c:pt idx="535">
                  <c:v>172</c:v>
                </c:pt>
                <c:pt idx="536">
                  <c:v>159.16999999999999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159.16999999999999</c:v>
                </c:pt>
                <c:pt idx="541">
                  <c:v>0</c:v>
                </c:pt>
                <c:pt idx="542">
                  <c:v>172</c:v>
                </c:pt>
                <c:pt idx="543">
                  <c:v>0</c:v>
                </c:pt>
                <c:pt idx="544">
                  <c:v>150.09</c:v>
                </c:pt>
                <c:pt idx="545">
                  <c:v>167</c:v>
                </c:pt>
                <c:pt idx="546">
                  <c:v>0</c:v>
                </c:pt>
                <c:pt idx="547">
                  <c:v>0</c:v>
                </c:pt>
                <c:pt idx="548">
                  <c:v>159.47999999999999</c:v>
                </c:pt>
                <c:pt idx="549">
                  <c:v>159.47999999999999</c:v>
                </c:pt>
                <c:pt idx="550">
                  <c:v>159.47999999999999</c:v>
                </c:pt>
                <c:pt idx="551">
                  <c:v>159.47999999999999</c:v>
                </c:pt>
                <c:pt idx="552">
                  <c:v>146.59</c:v>
                </c:pt>
                <c:pt idx="553">
                  <c:v>146.59</c:v>
                </c:pt>
                <c:pt idx="554">
                  <c:v>159.47999999999999</c:v>
                </c:pt>
                <c:pt idx="555">
                  <c:v>159.47999999999999</c:v>
                </c:pt>
                <c:pt idx="556">
                  <c:v>159.47999999999999</c:v>
                </c:pt>
                <c:pt idx="557">
                  <c:v>159.47999999999999</c:v>
                </c:pt>
                <c:pt idx="558">
                  <c:v>159.47999999999999</c:v>
                </c:pt>
                <c:pt idx="559">
                  <c:v>159.47999999999999</c:v>
                </c:pt>
                <c:pt idx="560">
                  <c:v>159.47999999999999</c:v>
                </c:pt>
                <c:pt idx="561">
                  <c:v>159.47999999999999</c:v>
                </c:pt>
                <c:pt idx="562">
                  <c:v>159.47999999999999</c:v>
                </c:pt>
                <c:pt idx="563">
                  <c:v>159.47999999999999</c:v>
                </c:pt>
                <c:pt idx="564">
                  <c:v>159.47999999999999</c:v>
                </c:pt>
                <c:pt idx="565">
                  <c:v>159.47999999999999</c:v>
                </c:pt>
                <c:pt idx="566">
                  <c:v>159.47999999999999</c:v>
                </c:pt>
                <c:pt idx="567">
                  <c:v>159.47999999999999</c:v>
                </c:pt>
                <c:pt idx="568">
                  <c:v>159.47999999999999</c:v>
                </c:pt>
                <c:pt idx="569">
                  <c:v>159.47999999999999</c:v>
                </c:pt>
                <c:pt idx="570">
                  <c:v>159.47999999999999</c:v>
                </c:pt>
                <c:pt idx="571">
                  <c:v>159.47999999999999</c:v>
                </c:pt>
                <c:pt idx="572">
                  <c:v>159.47999999999999</c:v>
                </c:pt>
                <c:pt idx="573">
                  <c:v>159.47999999999999</c:v>
                </c:pt>
                <c:pt idx="574">
                  <c:v>159.47999999999999</c:v>
                </c:pt>
                <c:pt idx="575">
                  <c:v>159.47999999999999</c:v>
                </c:pt>
                <c:pt idx="576">
                  <c:v>159.22</c:v>
                </c:pt>
                <c:pt idx="577">
                  <c:v>159.22</c:v>
                </c:pt>
                <c:pt idx="578">
                  <c:v>159.22</c:v>
                </c:pt>
                <c:pt idx="579">
                  <c:v>159.22</c:v>
                </c:pt>
                <c:pt idx="580">
                  <c:v>159.22</c:v>
                </c:pt>
                <c:pt idx="581">
                  <c:v>159.22</c:v>
                </c:pt>
                <c:pt idx="582">
                  <c:v>159.22</c:v>
                </c:pt>
                <c:pt idx="583">
                  <c:v>159.22</c:v>
                </c:pt>
                <c:pt idx="584">
                  <c:v>159.22</c:v>
                </c:pt>
                <c:pt idx="585">
                  <c:v>159.22</c:v>
                </c:pt>
                <c:pt idx="586">
                  <c:v>159.22</c:v>
                </c:pt>
                <c:pt idx="587">
                  <c:v>159.22</c:v>
                </c:pt>
                <c:pt idx="588">
                  <c:v>159.22</c:v>
                </c:pt>
                <c:pt idx="589">
                  <c:v>159.22</c:v>
                </c:pt>
                <c:pt idx="590">
                  <c:v>159.22</c:v>
                </c:pt>
                <c:pt idx="591">
                  <c:v>159.22</c:v>
                </c:pt>
                <c:pt idx="592">
                  <c:v>159.22</c:v>
                </c:pt>
                <c:pt idx="593">
                  <c:v>159.22</c:v>
                </c:pt>
                <c:pt idx="594">
                  <c:v>159.22</c:v>
                </c:pt>
                <c:pt idx="595">
                  <c:v>159.22</c:v>
                </c:pt>
                <c:pt idx="596">
                  <c:v>159.22</c:v>
                </c:pt>
                <c:pt idx="597">
                  <c:v>159.22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179.46</c:v>
                </c:pt>
                <c:pt idx="602">
                  <c:v>0</c:v>
                </c:pt>
                <c:pt idx="603">
                  <c:v>179.56</c:v>
                </c:pt>
                <c:pt idx="604">
                  <c:v>219.35</c:v>
                </c:pt>
                <c:pt idx="605">
                  <c:v>0</c:v>
                </c:pt>
                <c:pt idx="606">
                  <c:v>159.22</c:v>
                </c:pt>
                <c:pt idx="607">
                  <c:v>159.22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0</c:v>
                </c:pt>
                <c:pt idx="614">
                  <c:v>159.22</c:v>
                </c:pt>
                <c:pt idx="615">
                  <c:v>172</c:v>
                </c:pt>
                <c:pt idx="616">
                  <c:v>159.22</c:v>
                </c:pt>
                <c:pt idx="617">
                  <c:v>159.22</c:v>
                </c:pt>
                <c:pt idx="618">
                  <c:v>159.22</c:v>
                </c:pt>
                <c:pt idx="619">
                  <c:v>159.22</c:v>
                </c:pt>
                <c:pt idx="620">
                  <c:v>172</c:v>
                </c:pt>
                <c:pt idx="621">
                  <c:v>167</c:v>
                </c:pt>
                <c:pt idx="622">
                  <c:v>172</c:v>
                </c:pt>
                <c:pt idx="623">
                  <c:v>167</c:v>
                </c:pt>
                <c:pt idx="624">
                  <c:v>167</c:v>
                </c:pt>
                <c:pt idx="625">
                  <c:v>167</c:v>
                </c:pt>
                <c:pt idx="626">
                  <c:v>167</c:v>
                </c:pt>
                <c:pt idx="627">
                  <c:v>159.22</c:v>
                </c:pt>
                <c:pt idx="628">
                  <c:v>167</c:v>
                </c:pt>
                <c:pt idx="629">
                  <c:v>159.22</c:v>
                </c:pt>
                <c:pt idx="630">
                  <c:v>167</c:v>
                </c:pt>
                <c:pt idx="631">
                  <c:v>167</c:v>
                </c:pt>
                <c:pt idx="632">
                  <c:v>159.22</c:v>
                </c:pt>
                <c:pt idx="633">
                  <c:v>172</c:v>
                </c:pt>
                <c:pt idx="634">
                  <c:v>167</c:v>
                </c:pt>
                <c:pt idx="635">
                  <c:v>172</c:v>
                </c:pt>
                <c:pt idx="636">
                  <c:v>167</c:v>
                </c:pt>
                <c:pt idx="637">
                  <c:v>180.12</c:v>
                </c:pt>
                <c:pt idx="638">
                  <c:v>180.13</c:v>
                </c:pt>
                <c:pt idx="639">
                  <c:v>0</c:v>
                </c:pt>
                <c:pt idx="640">
                  <c:v>185.1</c:v>
                </c:pt>
                <c:pt idx="641">
                  <c:v>185.1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176.98</c:v>
                </c:pt>
                <c:pt idx="646">
                  <c:v>176.98</c:v>
                </c:pt>
                <c:pt idx="647">
                  <c:v>176.98</c:v>
                </c:pt>
                <c:pt idx="648">
                  <c:v>176.98</c:v>
                </c:pt>
                <c:pt idx="649">
                  <c:v>176.98</c:v>
                </c:pt>
                <c:pt idx="650">
                  <c:v>176.98</c:v>
                </c:pt>
                <c:pt idx="651">
                  <c:v>186.53</c:v>
                </c:pt>
                <c:pt idx="652">
                  <c:v>276.49</c:v>
                </c:pt>
                <c:pt idx="653">
                  <c:v>276.49</c:v>
                </c:pt>
                <c:pt idx="654">
                  <c:v>276.49</c:v>
                </c:pt>
                <c:pt idx="655">
                  <c:v>276.49</c:v>
                </c:pt>
                <c:pt idx="656">
                  <c:v>276.49</c:v>
                </c:pt>
                <c:pt idx="657">
                  <c:v>276.49</c:v>
                </c:pt>
                <c:pt idx="658">
                  <c:v>276.49</c:v>
                </c:pt>
                <c:pt idx="659">
                  <c:v>276.49</c:v>
                </c:pt>
                <c:pt idx="660">
                  <c:v>276.99</c:v>
                </c:pt>
                <c:pt idx="661">
                  <c:v>276.99</c:v>
                </c:pt>
                <c:pt idx="662">
                  <c:v>276.99</c:v>
                </c:pt>
                <c:pt idx="663">
                  <c:v>276.99</c:v>
                </c:pt>
                <c:pt idx="664">
                  <c:v>0</c:v>
                </c:pt>
                <c:pt idx="665">
                  <c:v>0</c:v>
                </c:pt>
                <c:pt idx="666">
                  <c:v>186.53</c:v>
                </c:pt>
                <c:pt idx="667">
                  <c:v>186.53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352.50593300000003</c:v>
                </c:pt>
                <c:pt idx="1">
                  <c:v>424.35999989999999</c:v>
                </c:pt>
                <c:pt idx="2">
                  <c:v>422.35999989999999</c:v>
                </c:pt>
                <c:pt idx="3">
                  <c:v>422.37232820000003</c:v>
                </c:pt>
                <c:pt idx="4">
                  <c:v>320.95630089999997</c:v>
                </c:pt>
                <c:pt idx="5">
                  <c:v>317.45816600000001</c:v>
                </c:pt>
                <c:pt idx="6">
                  <c:v>309.83959340000001</c:v>
                </c:pt>
                <c:pt idx="7">
                  <c:v>411</c:v>
                </c:pt>
                <c:pt idx="8">
                  <c:v>326.79557349999999</c:v>
                </c:pt>
                <c:pt idx="9">
                  <c:v>318.33022469999997</c:v>
                </c:pt>
                <c:pt idx="10">
                  <c:v>317.51193009999997</c:v>
                </c:pt>
                <c:pt idx="11">
                  <c:v>160.3674752</c:v>
                </c:pt>
                <c:pt idx="12">
                  <c:v>308.8931321</c:v>
                </c:pt>
                <c:pt idx="13">
                  <c:v>305.2565864</c:v>
                </c:pt>
                <c:pt idx="14">
                  <c:v>306.9051632</c:v>
                </c:pt>
                <c:pt idx="15">
                  <c:v>299.34759930000001</c:v>
                </c:pt>
                <c:pt idx="16">
                  <c:v>409.04252489999999</c:v>
                </c:pt>
                <c:pt idx="17">
                  <c:v>372.2332002</c:v>
                </c:pt>
                <c:pt idx="18">
                  <c:v>302.12608610000001</c:v>
                </c:pt>
                <c:pt idx="19">
                  <c:v>301.98440870000002</c:v>
                </c:pt>
                <c:pt idx="20">
                  <c:v>489.12999989999997</c:v>
                </c:pt>
                <c:pt idx="21">
                  <c:v>393.42999989999998</c:v>
                </c:pt>
                <c:pt idx="22">
                  <c:v>393.42999989999998</c:v>
                </c:pt>
                <c:pt idx="23">
                  <c:v>393.42999989999998</c:v>
                </c:pt>
                <c:pt idx="24">
                  <c:v>347.00839580000002</c:v>
                </c:pt>
                <c:pt idx="25">
                  <c:v>348.80048590000001</c:v>
                </c:pt>
                <c:pt idx="26">
                  <c:v>349.01844599999998</c:v>
                </c:pt>
                <c:pt idx="27">
                  <c:v>349.1968296</c:v>
                </c:pt>
                <c:pt idx="28">
                  <c:v>348.70030250000002</c:v>
                </c:pt>
                <c:pt idx="29">
                  <c:v>348.70139039999998</c:v>
                </c:pt>
                <c:pt idx="30">
                  <c:v>333.82058599999999</c:v>
                </c:pt>
                <c:pt idx="31">
                  <c:v>335.30914639999997</c:v>
                </c:pt>
                <c:pt idx="32">
                  <c:v>348.90086580000002</c:v>
                </c:pt>
                <c:pt idx="33">
                  <c:v>346.45525220000002</c:v>
                </c:pt>
                <c:pt idx="34">
                  <c:v>346.33120980000001</c:v>
                </c:pt>
                <c:pt idx="35">
                  <c:v>346.44053300000002</c:v>
                </c:pt>
                <c:pt idx="36">
                  <c:v>347.14395589999998</c:v>
                </c:pt>
                <c:pt idx="37">
                  <c:v>346.28157779999998</c:v>
                </c:pt>
                <c:pt idx="38">
                  <c:v>346.23404349999998</c:v>
                </c:pt>
                <c:pt idx="39">
                  <c:v>346.39245529999999</c:v>
                </c:pt>
                <c:pt idx="40">
                  <c:v>294.53255280000002</c:v>
                </c:pt>
                <c:pt idx="41">
                  <c:v>262.21420740000002</c:v>
                </c:pt>
                <c:pt idx="42">
                  <c:v>261.59849709999997</c:v>
                </c:pt>
                <c:pt idx="43">
                  <c:v>256.52131370000001</c:v>
                </c:pt>
                <c:pt idx="44">
                  <c:v>284.59555349999999</c:v>
                </c:pt>
                <c:pt idx="45">
                  <c:v>284.4527324</c:v>
                </c:pt>
                <c:pt idx="46">
                  <c:v>285.65235489999998</c:v>
                </c:pt>
                <c:pt idx="47">
                  <c:v>284.38753389999999</c:v>
                </c:pt>
                <c:pt idx="48">
                  <c:v>294.06648960000001</c:v>
                </c:pt>
                <c:pt idx="49">
                  <c:v>289.07697899999999</c:v>
                </c:pt>
                <c:pt idx="50">
                  <c:v>287.04506659999998</c:v>
                </c:pt>
                <c:pt idx="51">
                  <c:v>284.71301449999999</c:v>
                </c:pt>
                <c:pt idx="52">
                  <c:v>284.56643459999998</c:v>
                </c:pt>
                <c:pt idx="53">
                  <c:v>285.30659600000001</c:v>
                </c:pt>
                <c:pt idx="54">
                  <c:v>286.22776929999998</c:v>
                </c:pt>
                <c:pt idx="55">
                  <c:v>285.13877200000002</c:v>
                </c:pt>
                <c:pt idx="56">
                  <c:v>286.83944889999998</c:v>
                </c:pt>
                <c:pt idx="57">
                  <c:v>286.79856100000001</c:v>
                </c:pt>
                <c:pt idx="58">
                  <c:v>287.22119129999999</c:v>
                </c:pt>
                <c:pt idx="59">
                  <c:v>287.84771219999999</c:v>
                </c:pt>
                <c:pt idx="60">
                  <c:v>291.78274490000001</c:v>
                </c:pt>
                <c:pt idx="61">
                  <c:v>297.17973710000001</c:v>
                </c:pt>
                <c:pt idx="62">
                  <c:v>298.20543140000001</c:v>
                </c:pt>
                <c:pt idx="63">
                  <c:v>345.92200380000003</c:v>
                </c:pt>
                <c:pt idx="64">
                  <c:v>292.45289630000002</c:v>
                </c:pt>
                <c:pt idx="65">
                  <c:v>346.46773610000002</c:v>
                </c:pt>
                <c:pt idx="66">
                  <c:v>346.66318749999999</c:v>
                </c:pt>
                <c:pt idx="67">
                  <c:v>348.20527099999998</c:v>
                </c:pt>
                <c:pt idx="68">
                  <c:v>346.20416340000003</c:v>
                </c:pt>
                <c:pt idx="69">
                  <c:v>346.27487250000001</c:v>
                </c:pt>
                <c:pt idx="70">
                  <c:v>346.58492990000002</c:v>
                </c:pt>
                <c:pt idx="71">
                  <c:v>346.81132129999997</c:v>
                </c:pt>
                <c:pt idx="72">
                  <c:v>389.33728189999999</c:v>
                </c:pt>
                <c:pt idx="73">
                  <c:v>441.64074879999998</c:v>
                </c:pt>
                <c:pt idx="74">
                  <c:v>441.4019687</c:v>
                </c:pt>
                <c:pt idx="75">
                  <c:v>383.5328897</c:v>
                </c:pt>
                <c:pt idx="76">
                  <c:v>384.01253989999998</c:v>
                </c:pt>
                <c:pt idx="77">
                  <c:v>383.38170220000001</c:v>
                </c:pt>
                <c:pt idx="78">
                  <c:v>198.7273801</c:v>
                </c:pt>
                <c:pt idx="79">
                  <c:v>191.2776178</c:v>
                </c:pt>
                <c:pt idx="80">
                  <c:v>443.26166080000002</c:v>
                </c:pt>
                <c:pt idx="81">
                  <c:v>443.27936720000002</c:v>
                </c:pt>
                <c:pt idx="82">
                  <c:v>176.3598854</c:v>
                </c:pt>
                <c:pt idx="83">
                  <c:v>172.5940871</c:v>
                </c:pt>
                <c:pt idx="84">
                  <c:v>364.48866199999998</c:v>
                </c:pt>
                <c:pt idx="85">
                  <c:v>176.26399259999999</c:v>
                </c:pt>
                <c:pt idx="86">
                  <c:v>171.46706069999999</c:v>
                </c:pt>
                <c:pt idx="87">
                  <c:v>160.5993484</c:v>
                </c:pt>
                <c:pt idx="88">
                  <c:v>349.4595496</c:v>
                </c:pt>
                <c:pt idx="89">
                  <c:v>348.94593789999999</c:v>
                </c:pt>
                <c:pt idx="90">
                  <c:v>161.0590302</c:v>
                </c:pt>
                <c:pt idx="91">
                  <c:v>170.67872560000001</c:v>
                </c:pt>
                <c:pt idx="92">
                  <c:v>271.7265835</c:v>
                </c:pt>
                <c:pt idx="93">
                  <c:v>147.52028759999999</c:v>
                </c:pt>
                <c:pt idx="94">
                  <c:v>170.8722558</c:v>
                </c:pt>
                <c:pt idx="95">
                  <c:v>157.7202025</c:v>
                </c:pt>
                <c:pt idx="96">
                  <c:v>175.77999980000001</c:v>
                </c:pt>
                <c:pt idx="97">
                  <c:v>175.72537130000001</c:v>
                </c:pt>
                <c:pt idx="98">
                  <c:v>175.6373294</c:v>
                </c:pt>
                <c:pt idx="99">
                  <c:v>175.70528959999999</c:v>
                </c:pt>
                <c:pt idx="100">
                  <c:v>343.89999990000001</c:v>
                </c:pt>
                <c:pt idx="101">
                  <c:v>343.89999990000001</c:v>
                </c:pt>
                <c:pt idx="102">
                  <c:v>343.89999990000001</c:v>
                </c:pt>
                <c:pt idx="103">
                  <c:v>344.0999999</c:v>
                </c:pt>
                <c:pt idx="104">
                  <c:v>358.69258330000002</c:v>
                </c:pt>
                <c:pt idx="105">
                  <c:v>355.90739989999997</c:v>
                </c:pt>
                <c:pt idx="106">
                  <c:v>344.3584267</c:v>
                </c:pt>
                <c:pt idx="107">
                  <c:v>343.70999990000001</c:v>
                </c:pt>
                <c:pt idx="108">
                  <c:v>343.70999990000001</c:v>
                </c:pt>
                <c:pt idx="109">
                  <c:v>343.70999979999999</c:v>
                </c:pt>
                <c:pt idx="110">
                  <c:v>343.70999990000001</c:v>
                </c:pt>
                <c:pt idx="111">
                  <c:v>343.70999990000001</c:v>
                </c:pt>
                <c:pt idx="112">
                  <c:v>545.01999990000002</c:v>
                </c:pt>
                <c:pt idx="113">
                  <c:v>343.91326099999998</c:v>
                </c:pt>
                <c:pt idx="114">
                  <c:v>344.0999999</c:v>
                </c:pt>
                <c:pt idx="115">
                  <c:v>344.39999990000001</c:v>
                </c:pt>
                <c:pt idx="116">
                  <c:v>467</c:v>
                </c:pt>
                <c:pt idx="117">
                  <c:v>467</c:v>
                </c:pt>
                <c:pt idx="118">
                  <c:v>488</c:v>
                </c:pt>
                <c:pt idx="119">
                  <c:v>490.02442230000003</c:v>
                </c:pt>
                <c:pt idx="120">
                  <c:v>400.99889780000001</c:v>
                </c:pt>
                <c:pt idx="121">
                  <c:v>411.32190170000001</c:v>
                </c:pt>
                <c:pt idx="122">
                  <c:v>470.37303910000003</c:v>
                </c:pt>
                <c:pt idx="123">
                  <c:v>487.99999969999999</c:v>
                </c:pt>
                <c:pt idx="124">
                  <c:v>466.99999980000001</c:v>
                </c:pt>
                <c:pt idx="125">
                  <c:v>467</c:v>
                </c:pt>
                <c:pt idx="126">
                  <c:v>466.99999989999998</c:v>
                </c:pt>
                <c:pt idx="127">
                  <c:v>466.99999989999998</c:v>
                </c:pt>
                <c:pt idx="128">
                  <c:v>480.71697829999999</c:v>
                </c:pt>
                <c:pt idx="129">
                  <c:v>480.71342420000002</c:v>
                </c:pt>
                <c:pt idx="130">
                  <c:v>480.70855640000002</c:v>
                </c:pt>
                <c:pt idx="131">
                  <c:v>480.96881880000001</c:v>
                </c:pt>
                <c:pt idx="132">
                  <c:v>480.80740609999998</c:v>
                </c:pt>
                <c:pt idx="133">
                  <c:v>480.81690839999999</c:v>
                </c:pt>
                <c:pt idx="134">
                  <c:v>480.81839079999997</c:v>
                </c:pt>
                <c:pt idx="135">
                  <c:v>480.81548509999999</c:v>
                </c:pt>
                <c:pt idx="136">
                  <c:v>501.4194895</c:v>
                </c:pt>
                <c:pt idx="137">
                  <c:v>500.20697610000002</c:v>
                </c:pt>
                <c:pt idx="138">
                  <c:v>497.31742630000002</c:v>
                </c:pt>
                <c:pt idx="139">
                  <c:v>497.48933419999997</c:v>
                </c:pt>
                <c:pt idx="140">
                  <c:v>467.18701529999998</c:v>
                </c:pt>
                <c:pt idx="141">
                  <c:v>467.06469900000002</c:v>
                </c:pt>
                <c:pt idx="142">
                  <c:v>467.58884669999998</c:v>
                </c:pt>
                <c:pt idx="143">
                  <c:v>467.40748430000002</c:v>
                </c:pt>
                <c:pt idx="144">
                  <c:v>467.05570660000001</c:v>
                </c:pt>
                <c:pt idx="145">
                  <c:v>467.00835310000002</c:v>
                </c:pt>
                <c:pt idx="146">
                  <c:v>467.1493888</c:v>
                </c:pt>
                <c:pt idx="147">
                  <c:v>467.007184</c:v>
                </c:pt>
                <c:pt idx="148">
                  <c:v>467.14521070000001</c:v>
                </c:pt>
                <c:pt idx="149">
                  <c:v>468.31633090000003</c:v>
                </c:pt>
                <c:pt idx="150">
                  <c:v>467.45071430000002</c:v>
                </c:pt>
                <c:pt idx="151">
                  <c:v>173.55044150000001</c:v>
                </c:pt>
                <c:pt idx="152">
                  <c:v>174.3674877</c:v>
                </c:pt>
                <c:pt idx="153">
                  <c:v>498.41378650000001</c:v>
                </c:pt>
                <c:pt idx="154">
                  <c:v>497.83416460000001</c:v>
                </c:pt>
                <c:pt idx="155">
                  <c:v>501.8533018</c:v>
                </c:pt>
                <c:pt idx="156">
                  <c:v>499.08449890000003</c:v>
                </c:pt>
                <c:pt idx="157">
                  <c:v>498.9782831</c:v>
                </c:pt>
                <c:pt idx="158">
                  <c:v>499.01684979999999</c:v>
                </c:pt>
                <c:pt idx="159">
                  <c:v>498.62615670000002</c:v>
                </c:pt>
                <c:pt idx="160">
                  <c:v>535.2458987</c:v>
                </c:pt>
                <c:pt idx="161">
                  <c:v>535.25152430000003</c:v>
                </c:pt>
                <c:pt idx="162">
                  <c:v>536.00009469999998</c:v>
                </c:pt>
                <c:pt idx="163">
                  <c:v>536.01091899999994</c:v>
                </c:pt>
                <c:pt idx="164">
                  <c:v>549.9301461</c:v>
                </c:pt>
                <c:pt idx="165">
                  <c:v>550.23489340000003</c:v>
                </c:pt>
                <c:pt idx="166">
                  <c:v>550.38640439999995</c:v>
                </c:pt>
                <c:pt idx="167">
                  <c:v>550.2018822</c:v>
                </c:pt>
                <c:pt idx="168">
                  <c:v>601.00269609999998</c:v>
                </c:pt>
                <c:pt idx="169">
                  <c:v>602.23484729999996</c:v>
                </c:pt>
                <c:pt idx="170">
                  <c:v>602.24058479999997</c:v>
                </c:pt>
                <c:pt idx="171">
                  <c:v>602.23766550000005</c:v>
                </c:pt>
                <c:pt idx="172">
                  <c:v>602.25202139999999</c:v>
                </c:pt>
                <c:pt idx="173">
                  <c:v>602.24493050000001</c:v>
                </c:pt>
                <c:pt idx="174">
                  <c:v>602.27491740000005</c:v>
                </c:pt>
                <c:pt idx="175">
                  <c:v>602.26854660000004</c:v>
                </c:pt>
                <c:pt idx="176">
                  <c:v>558.00183909999998</c:v>
                </c:pt>
                <c:pt idx="177">
                  <c:v>558.17458090000002</c:v>
                </c:pt>
                <c:pt idx="178">
                  <c:v>558.00865169999997</c:v>
                </c:pt>
                <c:pt idx="179">
                  <c:v>557.06862420000004</c:v>
                </c:pt>
                <c:pt idx="180">
                  <c:v>496.99999989999998</c:v>
                </c:pt>
                <c:pt idx="181">
                  <c:v>496.99000810000001</c:v>
                </c:pt>
                <c:pt idx="182">
                  <c:v>496.99002960000001</c:v>
                </c:pt>
                <c:pt idx="183">
                  <c:v>498.18999980000001</c:v>
                </c:pt>
                <c:pt idx="184">
                  <c:v>494.44999960000001</c:v>
                </c:pt>
                <c:pt idx="185">
                  <c:v>494.44999990000002</c:v>
                </c:pt>
                <c:pt idx="186">
                  <c:v>492.15073649999999</c:v>
                </c:pt>
                <c:pt idx="187">
                  <c:v>492.15086819999999</c:v>
                </c:pt>
                <c:pt idx="188">
                  <c:v>488.00194019999998</c:v>
                </c:pt>
                <c:pt idx="189">
                  <c:v>488.00194920000001</c:v>
                </c:pt>
                <c:pt idx="190">
                  <c:v>501.1099997</c:v>
                </c:pt>
                <c:pt idx="191">
                  <c:v>501.10999980000003</c:v>
                </c:pt>
                <c:pt idx="192">
                  <c:v>506</c:v>
                </c:pt>
                <c:pt idx="193">
                  <c:v>370.60088589999998</c:v>
                </c:pt>
                <c:pt idx="194">
                  <c:v>370.15649610000003</c:v>
                </c:pt>
                <c:pt idx="195">
                  <c:v>367.81110960000001</c:v>
                </c:pt>
                <c:pt idx="196">
                  <c:v>499.81999949999999</c:v>
                </c:pt>
                <c:pt idx="197">
                  <c:v>499.81999960000002</c:v>
                </c:pt>
                <c:pt idx="198">
                  <c:v>372.84038329999998</c:v>
                </c:pt>
                <c:pt idx="199">
                  <c:v>372.59176919999999</c:v>
                </c:pt>
                <c:pt idx="200">
                  <c:v>370.99381410000001</c:v>
                </c:pt>
                <c:pt idx="201">
                  <c:v>369.0789504</c:v>
                </c:pt>
                <c:pt idx="202">
                  <c:v>369.49691819999998</c:v>
                </c:pt>
                <c:pt idx="203">
                  <c:v>368.2443384</c:v>
                </c:pt>
                <c:pt idx="204">
                  <c:v>368.1038107</c:v>
                </c:pt>
                <c:pt idx="205">
                  <c:v>368.24711050000002</c:v>
                </c:pt>
                <c:pt idx="206">
                  <c:v>368.22681239999997</c:v>
                </c:pt>
                <c:pt idx="207">
                  <c:v>368.2918603</c:v>
                </c:pt>
                <c:pt idx="208">
                  <c:v>375.21682170000003</c:v>
                </c:pt>
                <c:pt idx="209">
                  <c:v>370.98044249999998</c:v>
                </c:pt>
                <c:pt idx="210">
                  <c:v>369.83092690000001</c:v>
                </c:pt>
                <c:pt idx="211">
                  <c:v>370.41351709999998</c:v>
                </c:pt>
                <c:pt idx="212">
                  <c:v>484</c:v>
                </c:pt>
                <c:pt idx="213">
                  <c:v>385.4397553</c:v>
                </c:pt>
                <c:pt idx="214">
                  <c:v>384.49807820000001</c:v>
                </c:pt>
                <c:pt idx="215">
                  <c:v>384.45612019999999</c:v>
                </c:pt>
                <c:pt idx="216">
                  <c:v>369.7999997</c:v>
                </c:pt>
                <c:pt idx="217">
                  <c:v>369.802099</c:v>
                </c:pt>
                <c:pt idx="218">
                  <c:v>369.8269482</c:v>
                </c:pt>
                <c:pt idx="219">
                  <c:v>369.79999989999999</c:v>
                </c:pt>
                <c:pt idx="220">
                  <c:v>456.81999990000003</c:v>
                </c:pt>
                <c:pt idx="221">
                  <c:v>456.81999990000003</c:v>
                </c:pt>
                <c:pt idx="222">
                  <c:v>460.0196282</c:v>
                </c:pt>
                <c:pt idx="223">
                  <c:v>456.81999990000003</c:v>
                </c:pt>
                <c:pt idx="224">
                  <c:v>412.36209739999998</c:v>
                </c:pt>
                <c:pt idx="225">
                  <c:v>412.30238939999998</c:v>
                </c:pt>
                <c:pt idx="226">
                  <c:v>412.29999989999999</c:v>
                </c:pt>
                <c:pt idx="227">
                  <c:v>412.29999989999999</c:v>
                </c:pt>
                <c:pt idx="228">
                  <c:v>370.30470170000001</c:v>
                </c:pt>
                <c:pt idx="229">
                  <c:v>369.8</c:v>
                </c:pt>
                <c:pt idx="230">
                  <c:v>368.36838640000002</c:v>
                </c:pt>
                <c:pt idx="231">
                  <c:v>368.39335349999999</c:v>
                </c:pt>
                <c:pt idx="232">
                  <c:v>370.07848100000001</c:v>
                </c:pt>
                <c:pt idx="233">
                  <c:v>369.80157000000003</c:v>
                </c:pt>
                <c:pt idx="234">
                  <c:v>369.81063319999998</c:v>
                </c:pt>
                <c:pt idx="235">
                  <c:v>369.85706640000001</c:v>
                </c:pt>
                <c:pt idx="236">
                  <c:v>370.08167939999998</c:v>
                </c:pt>
                <c:pt idx="237">
                  <c:v>369.91971580000001</c:v>
                </c:pt>
                <c:pt idx="238">
                  <c:v>370.32403950000003</c:v>
                </c:pt>
                <c:pt idx="239">
                  <c:v>369.83638450000001</c:v>
                </c:pt>
                <c:pt idx="240">
                  <c:v>370.85265650000002</c:v>
                </c:pt>
                <c:pt idx="241">
                  <c:v>370.12117050000001</c:v>
                </c:pt>
                <c:pt idx="242">
                  <c:v>369.96886160000003</c:v>
                </c:pt>
                <c:pt idx="243">
                  <c:v>369.82852229999997</c:v>
                </c:pt>
                <c:pt idx="244">
                  <c:v>369.82857109999998</c:v>
                </c:pt>
                <c:pt idx="245">
                  <c:v>369.80758709999998</c:v>
                </c:pt>
                <c:pt idx="246">
                  <c:v>369.8195801</c:v>
                </c:pt>
                <c:pt idx="247">
                  <c:v>370.23378459999998</c:v>
                </c:pt>
                <c:pt idx="248">
                  <c:v>367.9873882</c:v>
                </c:pt>
                <c:pt idx="249">
                  <c:v>369.80554089999998</c:v>
                </c:pt>
                <c:pt idx="250">
                  <c:v>369.91500439999999</c:v>
                </c:pt>
                <c:pt idx="251">
                  <c:v>369.90123</c:v>
                </c:pt>
                <c:pt idx="252">
                  <c:v>369.79999989999999</c:v>
                </c:pt>
                <c:pt idx="253">
                  <c:v>369.80039049999999</c:v>
                </c:pt>
                <c:pt idx="254">
                  <c:v>369.79999989999999</c:v>
                </c:pt>
                <c:pt idx="255">
                  <c:v>369.83504959999999</c:v>
                </c:pt>
                <c:pt idx="256">
                  <c:v>412.12851990000001</c:v>
                </c:pt>
                <c:pt idx="257">
                  <c:v>412.32572570000002</c:v>
                </c:pt>
                <c:pt idx="258">
                  <c:v>412.2253978</c:v>
                </c:pt>
                <c:pt idx="259">
                  <c:v>412.16946949999999</c:v>
                </c:pt>
                <c:pt idx="260">
                  <c:v>0</c:v>
                </c:pt>
                <c:pt idx="261">
                  <c:v>184.35883319999999</c:v>
                </c:pt>
                <c:pt idx="262">
                  <c:v>447.89999990000001</c:v>
                </c:pt>
                <c:pt idx="263">
                  <c:v>448.3585339</c:v>
                </c:pt>
                <c:pt idx="264">
                  <c:v>543.29999989999999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538.93999989999998</c:v>
                </c:pt>
                <c:pt idx="269">
                  <c:v>538.93999989999998</c:v>
                </c:pt>
                <c:pt idx="270">
                  <c:v>538.93999989999998</c:v>
                </c:pt>
                <c:pt idx="271">
                  <c:v>183.1888371</c:v>
                </c:pt>
                <c:pt idx="272">
                  <c:v>412.2720999</c:v>
                </c:pt>
                <c:pt idx="273">
                  <c:v>412.1541732</c:v>
                </c:pt>
                <c:pt idx="274">
                  <c:v>183.921627</c:v>
                </c:pt>
                <c:pt idx="275">
                  <c:v>183.89219890000001</c:v>
                </c:pt>
                <c:pt idx="276">
                  <c:v>369.95167900000001</c:v>
                </c:pt>
                <c:pt idx="277">
                  <c:v>369.79999989999999</c:v>
                </c:pt>
                <c:pt idx="278">
                  <c:v>183.2835019</c:v>
                </c:pt>
                <c:pt idx="279">
                  <c:v>183.03073739999999</c:v>
                </c:pt>
                <c:pt idx="280">
                  <c:v>370.07044930000001</c:v>
                </c:pt>
                <c:pt idx="281">
                  <c:v>369.79999989999999</c:v>
                </c:pt>
                <c:pt idx="282">
                  <c:v>369.79999989999999</c:v>
                </c:pt>
                <c:pt idx="283">
                  <c:v>182.44875870000001</c:v>
                </c:pt>
                <c:pt idx="284">
                  <c:v>370.69795219999997</c:v>
                </c:pt>
                <c:pt idx="285">
                  <c:v>367.6803835</c:v>
                </c:pt>
                <c:pt idx="286">
                  <c:v>367.34170119999999</c:v>
                </c:pt>
                <c:pt idx="287">
                  <c:v>182.34432050000001</c:v>
                </c:pt>
                <c:pt idx="288">
                  <c:v>147.35429679999999</c:v>
                </c:pt>
                <c:pt idx="289">
                  <c:v>126.4484803</c:v>
                </c:pt>
                <c:pt idx="290">
                  <c:v>149.04581279999999</c:v>
                </c:pt>
                <c:pt idx="291">
                  <c:v>154.9088687</c:v>
                </c:pt>
                <c:pt idx="292">
                  <c:v>449.7299999</c:v>
                </c:pt>
                <c:pt idx="293">
                  <c:v>449.7299999</c:v>
                </c:pt>
                <c:pt idx="294">
                  <c:v>444</c:v>
                </c:pt>
                <c:pt idx="295">
                  <c:v>352.75858749999998</c:v>
                </c:pt>
                <c:pt idx="296">
                  <c:v>342.5999999</c:v>
                </c:pt>
                <c:pt idx="297">
                  <c:v>342.5999999</c:v>
                </c:pt>
                <c:pt idx="298">
                  <c:v>342.5999999</c:v>
                </c:pt>
                <c:pt idx="299">
                  <c:v>342.6</c:v>
                </c:pt>
                <c:pt idx="300">
                  <c:v>342.5999999</c:v>
                </c:pt>
                <c:pt idx="301">
                  <c:v>342.6</c:v>
                </c:pt>
                <c:pt idx="302">
                  <c:v>342.29999989999999</c:v>
                </c:pt>
                <c:pt idx="303">
                  <c:v>342.6</c:v>
                </c:pt>
                <c:pt idx="304">
                  <c:v>342.5999999</c:v>
                </c:pt>
                <c:pt idx="305">
                  <c:v>342.6</c:v>
                </c:pt>
                <c:pt idx="306">
                  <c:v>342.29999980000002</c:v>
                </c:pt>
                <c:pt idx="307">
                  <c:v>342.6303332</c:v>
                </c:pt>
                <c:pt idx="308">
                  <c:v>156.3883343</c:v>
                </c:pt>
                <c:pt idx="309">
                  <c:v>345.87640709999999</c:v>
                </c:pt>
                <c:pt idx="310">
                  <c:v>345.84273880000001</c:v>
                </c:pt>
                <c:pt idx="311">
                  <c:v>346.65487380000002</c:v>
                </c:pt>
                <c:pt idx="312">
                  <c:v>422.74344129999997</c:v>
                </c:pt>
                <c:pt idx="313">
                  <c:v>423.03450129999999</c:v>
                </c:pt>
                <c:pt idx="314">
                  <c:v>423.15919229999997</c:v>
                </c:pt>
                <c:pt idx="315">
                  <c:v>424.29999989999999</c:v>
                </c:pt>
                <c:pt idx="316">
                  <c:v>447.89999990000001</c:v>
                </c:pt>
                <c:pt idx="317">
                  <c:v>446.32247769999998</c:v>
                </c:pt>
                <c:pt idx="318">
                  <c:v>446.32105660000002</c:v>
                </c:pt>
                <c:pt idx="319">
                  <c:v>446.23563230000002</c:v>
                </c:pt>
                <c:pt idx="320">
                  <c:v>403.05999989999998</c:v>
                </c:pt>
                <c:pt idx="321">
                  <c:v>403.05999989999998</c:v>
                </c:pt>
                <c:pt idx="322">
                  <c:v>403.05999989999998</c:v>
                </c:pt>
                <c:pt idx="323">
                  <c:v>403.05999989999998</c:v>
                </c:pt>
                <c:pt idx="324">
                  <c:v>379.89999990000001</c:v>
                </c:pt>
                <c:pt idx="325">
                  <c:v>379.89999990000001</c:v>
                </c:pt>
                <c:pt idx="326">
                  <c:v>447.00999990000003</c:v>
                </c:pt>
                <c:pt idx="327">
                  <c:v>380.08270900000002</c:v>
                </c:pt>
                <c:pt idx="328">
                  <c:v>350.95435909999998</c:v>
                </c:pt>
                <c:pt idx="329">
                  <c:v>399.13275049999999</c:v>
                </c:pt>
                <c:pt idx="330">
                  <c:v>447.01999990000002</c:v>
                </c:pt>
                <c:pt idx="331">
                  <c:v>447.02001790000003</c:v>
                </c:pt>
                <c:pt idx="332">
                  <c:v>353.90249299999999</c:v>
                </c:pt>
                <c:pt idx="333">
                  <c:v>447.00999990000003</c:v>
                </c:pt>
                <c:pt idx="334">
                  <c:v>349.78243300000003</c:v>
                </c:pt>
                <c:pt idx="335">
                  <c:v>349.91163940000001</c:v>
                </c:pt>
                <c:pt idx="336">
                  <c:v>349.94678490000001</c:v>
                </c:pt>
                <c:pt idx="337">
                  <c:v>349.94216390000003</c:v>
                </c:pt>
                <c:pt idx="338">
                  <c:v>371.90256119999998</c:v>
                </c:pt>
                <c:pt idx="339">
                  <c:v>350.4388457</c:v>
                </c:pt>
                <c:pt idx="340">
                  <c:v>447.02000809999998</c:v>
                </c:pt>
                <c:pt idx="341">
                  <c:v>351.63862920000003</c:v>
                </c:pt>
                <c:pt idx="342">
                  <c:v>349.78729079999999</c:v>
                </c:pt>
                <c:pt idx="343">
                  <c:v>350.09576800000002</c:v>
                </c:pt>
                <c:pt idx="344">
                  <c:v>350.1938432</c:v>
                </c:pt>
                <c:pt idx="345">
                  <c:v>350.83675779999999</c:v>
                </c:pt>
                <c:pt idx="346">
                  <c:v>349.99023240000002</c:v>
                </c:pt>
                <c:pt idx="347">
                  <c:v>340.20785389999998</c:v>
                </c:pt>
                <c:pt idx="348">
                  <c:v>340.29907029999998</c:v>
                </c:pt>
                <c:pt idx="349">
                  <c:v>342.06186279999997</c:v>
                </c:pt>
                <c:pt idx="350">
                  <c:v>340.17368060000001</c:v>
                </c:pt>
                <c:pt idx="351">
                  <c:v>350.38220869999998</c:v>
                </c:pt>
                <c:pt idx="352">
                  <c:v>478.44999990000002</c:v>
                </c:pt>
                <c:pt idx="353">
                  <c:v>425.98951039999997</c:v>
                </c:pt>
                <c:pt idx="354">
                  <c:v>391.718121</c:v>
                </c:pt>
                <c:pt idx="355">
                  <c:v>423.05642660000001</c:v>
                </c:pt>
                <c:pt idx="356">
                  <c:v>429.86182220000001</c:v>
                </c:pt>
                <c:pt idx="357">
                  <c:v>429.20023520000001</c:v>
                </c:pt>
                <c:pt idx="358">
                  <c:v>429.37886420000001</c:v>
                </c:pt>
                <c:pt idx="359">
                  <c:v>430.2485307</c:v>
                </c:pt>
                <c:pt idx="360">
                  <c:v>482.3469973</c:v>
                </c:pt>
                <c:pt idx="361">
                  <c:v>490.51999990000002</c:v>
                </c:pt>
                <c:pt idx="362">
                  <c:v>490.51999990000002</c:v>
                </c:pt>
                <c:pt idx="363">
                  <c:v>483.21270329999999</c:v>
                </c:pt>
                <c:pt idx="364">
                  <c:v>491.67667290000003</c:v>
                </c:pt>
                <c:pt idx="365">
                  <c:v>500.01999990000002</c:v>
                </c:pt>
                <c:pt idx="366">
                  <c:v>500.01999990000002</c:v>
                </c:pt>
                <c:pt idx="367">
                  <c:v>500.01999990000002</c:v>
                </c:pt>
                <c:pt idx="368">
                  <c:v>442.74225039999999</c:v>
                </c:pt>
                <c:pt idx="369">
                  <c:v>442.32587150000001</c:v>
                </c:pt>
                <c:pt idx="370">
                  <c:v>442.32173390000003</c:v>
                </c:pt>
                <c:pt idx="371">
                  <c:v>442.31930390000002</c:v>
                </c:pt>
                <c:pt idx="372">
                  <c:v>1600</c:v>
                </c:pt>
                <c:pt idx="373">
                  <c:v>1600</c:v>
                </c:pt>
                <c:pt idx="374">
                  <c:v>368.58510539999997</c:v>
                </c:pt>
                <c:pt idx="375">
                  <c:v>368.54632800000002</c:v>
                </c:pt>
                <c:pt idx="376">
                  <c:v>389.63682160000002</c:v>
                </c:pt>
                <c:pt idx="377">
                  <c:v>386.603748</c:v>
                </c:pt>
                <c:pt idx="378">
                  <c:v>385.52518279999998</c:v>
                </c:pt>
                <c:pt idx="379">
                  <c:v>385.3899232</c:v>
                </c:pt>
                <c:pt idx="380">
                  <c:v>373.64416970000002</c:v>
                </c:pt>
                <c:pt idx="381">
                  <c:v>373.60548849999998</c:v>
                </c:pt>
                <c:pt idx="382">
                  <c:v>376.2468968</c:v>
                </c:pt>
                <c:pt idx="383">
                  <c:v>106.218069</c:v>
                </c:pt>
                <c:pt idx="384">
                  <c:v>0</c:v>
                </c:pt>
                <c:pt idx="385">
                  <c:v>145.71240539999999</c:v>
                </c:pt>
                <c:pt idx="386">
                  <c:v>148.43958570000001</c:v>
                </c:pt>
                <c:pt idx="387">
                  <c:v>0</c:v>
                </c:pt>
                <c:pt idx="388">
                  <c:v>271.60279689999999</c:v>
                </c:pt>
                <c:pt idx="389">
                  <c:v>263.32371280000001</c:v>
                </c:pt>
                <c:pt idx="390">
                  <c:v>259.00289650000002</c:v>
                </c:pt>
                <c:pt idx="391">
                  <c:v>261.42995669999999</c:v>
                </c:pt>
                <c:pt idx="392">
                  <c:v>259.00244550000002</c:v>
                </c:pt>
                <c:pt idx="393">
                  <c:v>259.00285159999999</c:v>
                </c:pt>
                <c:pt idx="394">
                  <c:v>259</c:v>
                </c:pt>
                <c:pt idx="395">
                  <c:v>257.96177979999999</c:v>
                </c:pt>
                <c:pt idx="396">
                  <c:v>259</c:v>
                </c:pt>
                <c:pt idx="397">
                  <c:v>259</c:v>
                </c:pt>
                <c:pt idx="398">
                  <c:v>259</c:v>
                </c:pt>
                <c:pt idx="399">
                  <c:v>259</c:v>
                </c:pt>
                <c:pt idx="400">
                  <c:v>259</c:v>
                </c:pt>
                <c:pt idx="401">
                  <c:v>259</c:v>
                </c:pt>
                <c:pt idx="402">
                  <c:v>303.75999990000003</c:v>
                </c:pt>
                <c:pt idx="403">
                  <c:v>541.8299998</c:v>
                </c:pt>
                <c:pt idx="404">
                  <c:v>266.02527830000002</c:v>
                </c:pt>
                <c:pt idx="405">
                  <c:v>261.3640221</c:v>
                </c:pt>
                <c:pt idx="406">
                  <c:v>268.03662000000003</c:v>
                </c:pt>
                <c:pt idx="407">
                  <c:v>307.36131010000003</c:v>
                </c:pt>
                <c:pt idx="408">
                  <c:v>374.16432220000002</c:v>
                </c:pt>
                <c:pt idx="409">
                  <c:v>374.29373720000001</c:v>
                </c:pt>
                <c:pt idx="410">
                  <c:v>369.00216119999999</c:v>
                </c:pt>
                <c:pt idx="411">
                  <c:v>370.30738239999999</c:v>
                </c:pt>
                <c:pt idx="412">
                  <c:v>372.9596469</c:v>
                </c:pt>
                <c:pt idx="413">
                  <c:v>848.99999990000003</c:v>
                </c:pt>
                <c:pt idx="414">
                  <c:v>372.5668086</c:v>
                </c:pt>
                <c:pt idx="415">
                  <c:v>372.90889820000001</c:v>
                </c:pt>
                <c:pt idx="416">
                  <c:v>399.11091249999998</c:v>
                </c:pt>
                <c:pt idx="417">
                  <c:v>342.32256860000001</c:v>
                </c:pt>
                <c:pt idx="418">
                  <c:v>340.70805180000002</c:v>
                </c:pt>
                <c:pt idx="419">
                  <c:v>340.09910550000001</c:v>
                </c:pt>
                <c:pt idx="420">
                  <c:v>317.4501156</c:v>
                </c:pt>
                <c:pt idx="421">
                  <c:v>313.17890740000001</c:v>
                </c:pt>
                <c:pt idx="422">
                  <c:v>308.51138250000002</c:v>
                </c:pt>
                <c:pt idx="423">
                  <c:v>154.1499306</c:v>
                </c:pt>
                <c:pt idx="424">
                  <c:v>306.04335070000002</c:v>
                </c:pt>
                <c:pt idx="425">
                  <c:v>305.61200559999997</c:v>
                </c:pt>
                <c:pt idx="426">
                  <c:v>305.56948310000001</c:v>
                </c:pt>
                <c:pt idx="427">
                  <c:v>305.47956799999997</c:v>
                </c:pt>
                <c:pt idx="428">
                  <c:v>306.24337400000002</c:v>
                </c:pt>
                <c:pt idx="429">
                  <c:v>305.43732160000002</c:v>
                </c:pt>
                <c:pt idx="430">
                  <c:v>305.45494350000001</c:v>
                </c:pt>
                <c:pt idx="431">
                  <c:v>305.37860869999997</c:v>
                </c:pt>
                <c:pt idx="432">
                  <c:v>305.76781519999997</c:v>
                </c:pt>
                <c:pt idx="433">
                  <c:v>305.4552443</c:v>
                </c:pt>
                <c:pt idx="434">
                  <c:v>306.02318459999998</c:v>
                </c:pt>
                <c:pt idx="435">
                  <c:v>305.41721430000001</c:v>
                </c:pt>
                <c:pt idx="436">
                  <c:v>305.42895609999999</c:v>
                </c:pt>
                <c:pt idx="437">
                  <c:v>305.63370739999999</c:v>
                </c:pt>
                <c:pt idx="438">
                  <c:v>305.41322730000002</c:v>
                </c:pt>
                <c:pt idx="439">
                  <c:v>305.65659140000002</c:v>
                </c:pt>
                <c:pt idx="440">
                  <c:v>329.70536370000002</c:v>
                </c:pt>
                <c:pt idx="441">
                  <c:v>329.54174540000002</c:v>
                </c:pt>
                <c:pt idx="442">
                  <c:v>329.28976069999999</c:v>
                </c:pt>
                <c:pt idx="443">
                  <c:v>329.11039870000002</c:v>
                </c:pt>
                <c:pt idx="444">
                  <c:v>157.9644404</c:v>
                </c:pt>
                <c:pt idx="445">
                  <c:v>149.53671879999999</c:v>
                </c:pt>
                <c:pt idx="446">
                  <c:v>307.70152519999999</c:v>
                </c:pt>
                <c:pt idx="447">
                  <c:v>339.72253899999998</c:v>
                </c:pt>
                <c:pt idx="448">
                  <c:v>436.89999979999999</c:v>
                </c:pt>
                <c:pt idx="449">
                  <c:v>153.39118830000001</c:v>
                </c:pt>
                <c:pt idx="450">
                  <c:v>342.83097140000001</c:v>
                </c:pt>
                <c:pt idx="451">
                  <c:v>344.48387330000003</c:v>
                </c:pt>
                <c:pt idx="452">
                  <c:v>164.26339569999999</c:v>
                </c:pt>
                <c:pt idx="453">
                  <c:v>351.65968370000002</c:v>
                </c:pt>
                <c:pt idx="454">
                  <c:v>372.2368912</c:v>
                </c:pt>
                <c:pt idx="455">
                  <c:v>387.77185379999997</c:v>
                </c:pt>
                <c:pt idx="456">
                  <c:v>479.29999980000002</c:v>
                </c:pt>
                <c:pt idx="457">
                  <c:v>479.29999989999999</c:v>
                </c:pt>
                <c:pt idx="458">
                  <c:v>479.29999989999999</c:v>
                </c:pt>
                <c:pt idx="459">
                  <c:v>479.29999989999999</c:v>
                </c:pt>
                <c:pt idx="460">
                  <c:v>481.7796591</c:v>
                </c:pt>
                <c:pt idx="461">
                  <c:v>481.47766309999997</c:v>
                </c:pt>
                <c:pt idx="462">
                  <c:v>321.1507264</c:v>
                </c:pt>
                <c:pt idx="463">
                  <c:v>317.24192099999999</c:v>
                </c:pt>
                <c:pt idx="464">
                  <c:v>431.82017949999999</c:v>
                </c:pt>
                <c:pt idx="465">
                  <c:v>432.61854620000003</c:v>
                </c:pt>
                <c:pt idx="466">
                  <c:v>307.89611960000002</c:v>
                </c:pt>
                <c:pt idx="467">
                  <c:v>182.76796580000001</c:v>
                </c:pt>
                <c:pt idx="468">
                  <c:v>363.86444749999998</c:v>
                </c:pt>
                <c:pt idx="469">
                  <c:v>361.46233910000001</c:v>
                </c:pt>
                <c:pt idx="470">
                  <c:v>361.20999990000001</c:v>
                </c:pt>
                <c:pt idx="471">
                  <c:v>157.2997421</c:v>
                </c:pt>
                <c:pt idx="472">
                  <c:v>344.74384679999997</c:v>
                </c:pt>
                <c:pt idx="473">
                  <c:v>399.06287479999997</c:v>
                </c:pt>
                <c:pt idx="474">
                  <c:v>349.0099998</c:v>
                </c:pt>
                <c:pt idx="475">
                  <c:v>349.01999979999999</c:v>
                </c:pt>
                <c:pt idx="476">
                  <c:v>399</c:v>
                </c:pt>
                <c:pt idx="477">
                  <c:v>308.066552</c:v>
                </c:pt>
                <c:pt idx="478">
                  <c:v>313.93760350000002</c:v>
                </c:pt>
                <c:pt idx="479">
                  <c:v>307.11973499999999</c:v>
                </c:pt>
                <c:pt idx="480">
                  <c:v>254.90113410000001</c:v>
                </c:pt>
                <c:pt idx="481">
                  <c:v>279.83857469999998</c:v>
                </c:pt>
                <c:pt idx="482">
                  <c:v>157.71094629999999</c:v>
                </c:pt>
                <c:pt idx="483">
                  <c:v>178.28618399999999</c:v>
                </c:pt>
                <c:pt idx="484">
                  <c:v>154.78468860000001</c:v>
                </c:pt>
                <c:pt idx="485">
                  <c:v>159.11939770000001</c:v>
                </c:pt>
                <c:pt idx="486">
                  <c:v>166.42202280000001</c:v>
                </c:pt>
                <c:pt idx="487">
                  <c:v>172.24152649999999</c:v>
                </c:pt>
                <c:pt idx="488">
                  <c:v>156.17751290000001</c:v>
                </c:pt>
                <c:pt idx="489">
                  <c:v>159.0681069</c:v>
                </c:pt>
                <c:pt idx="490">
                  <c:v>158.709405</c:v>
                </c:pt>
                <c:pt idx="491">
                  <c:v>158.52497890000001</c:v>
                </c:pt>
                <c:pt idx="492">
                  <c:v>150.73852959999999</c:v>
                </c:pt>
                <c:pt idx="493">
                  <c:v>150.8961602</c:v>
                </c:pt>
                <c:pt idx="494">
                  <c:v>150.76962950000001</c:v>
                </c:pt>
                <c:pt idx="495">
                  <c:v>150.73930730000001</c:v>
                </c:pt>
                <c:pt idx="496">
                  <c:v>148.21099770000001</c:v>
                </c:pt>
                <c:pt idx="497">
                  <c:v>150.68448319999999</c:v>
                </c:pt>
                <c:pt idx="498">
                  <c:v>150.65501280000001</c:v>
                </c:pt>
                <c:pt idx="499">
                  <c:v>150.79045740000001</c:v>
                </c:pt>
                <c:pt idx="500">
                  <c:v>150.06153710000001</c:v>
                </c:pt>
                <c:pt idx="501">
                  <c:v>151.0072906</c:v>
                </c:pt>
                <c:pt idx="502">
                  <c:v>150.8972034</c:v>
                </c:pt>
                <c:pt idx="503">
                  <c:v>150.9562674</c:v>
                </c:pt>
                <c:pt idx="504">
                  <c:v>147.46259430000001</c:v>
                </c:pt>
                <c:pt idx="505">
                  <c:v>150.37719329999999</c:v>
                </c:pt>
                <c:pt idx="506">
                  <c:v>149.85453340000001</c:v>
                </c:pt>
                <c:pt idx="507">
                  <c:v>148.80269999999999</c:v>
                </c:pt>
                <c:pt idx="508">
                  <c:v>142.82384239999999</c:v>
                </c:pt>
                <c:pt idx="509">
                  <c:v>149.82623939999999</c:v>
                </c:pt>
                <c:pt idx="510">
                  <c:v>135.75241070000001</c:v>
                </c:pt>
                <c:pt idx="511">
                  <c:v>149.9880608</c:v>
                </c:pt>
                <c:pt idx="512">
                  <c:v>150.06020409999999</c:v>
                </c:pt>
                <c:pt idx="513">
                  <c:v>150.9601322</c:v>
                </c:pt>
                <c:pt idx="514">
                  <c:v>150.90140099999999</c:v>
                </c:pt>
                <c:pt idx="515">
                  <c:v>150.83778609999999</c:v>
                </c:pt>
                <c:pt idx="516">
                  <c:v>150.98417380000001</c:v>
                </c:pt>
                <c:pt idx="517">
                  <c:v>150.9752479</c:v>
                </c:pt>
                <c:pt idx="518">
                  <c:v>151.26822849999999</c:v>
                </c:pt>
                <c:pt idx="519">
                  <c:v>147.75325000000001</c:v>
                </c:pt>
                <c:pt idx="520">
                  <c:v>150.795603</c:v>
                </c:pt>
                <c:pt idx="521">
                  <c:v>131.99191959999999</c:v>
                </c:pt>
                <c:pt idx="522">
                  <c:v>150.8110653</c:v>
                </c:pt>
                <c:pt idx="523">
                  <c:v>150.8641093</c:v>
                </c:pt>
                <c:pt idx="524">
                  <c:v>151.01953829999999</c:v>
                </c:pt>
                <c:pt idx="525">
                  <c:v>150.9696735</c:v>
                </c:pt>
                <c:pt idx="526">
                  <c:v>156.97950839999999</c:v>
                </c:pt>
                <c:pt idx="527">
                  <c:v>150.95472129999999</c:v>
                </c:pt>
                <c:pt idx="528">
                  <c:v>150.94815650000001</c:v>
                </c:pt>
                <c:pt idx="529">
                  <c:v>284.87504419999999</c:v>
                </c:pt>
                <c:pt idx="530">
                  <c:v>285.76580360000003</c:v>
                </c:pt>
                <c:pt idx="531">
                  <c:v>349</c:v>
                </c:pt>
                <c:pt idx="532">
                  <c:v>283.00593509999999</c:v>
                </c:pt>
                <c:pt idx="533">
                  <c:v>0</c:v>
                </c:pt>
                <c:pt idx="534">
                  <c:v>169.90436600000001</c:v>
                </c:pt>
                <c:pt idx="535">
                  <c:v>169.86309969999999</c:v>
                </c:pt>
                <c:pt idx="536">
                  <c:v>297.13873649999999</c:v>
                </c:pt>
                <c:pt idx="537">
                  <c:v>283.49175289999999</c:v>
                </c:pt>
                <c:pt idx="538">
                  <c:v>283.0572962</c:v>
                </c:pt>
                <c:pt idx="539">
                  <c:v>283.38727269999998</c:v>
                </c:pt>
                <c:pt idx="540">
                  <c:v>286.80623960000003</c:v>
                </c:pt>
                <c:pt idx="541">
                  <c:v>282.88493949999997</c:v>
                </c:pt>
                <c:pt idx="542">
                  <c:v>289.11950639999998</c:v>
                </c:pt>
                <c:pt idx="543">
                  <c:v>283.44416840000002</c:v>
                </c:pt>
                <c:pt idx="544">
                  <c:v>291.90950020000002</c:v>
                </c:pt>
                <c:pt idx="545">
                  <c:v>299.24943789999998</c:v>
                </c:pt>
                <c:pt idx="546">
                  <c:v>294.15409099999999</c:v>
                </c:pt>
                <c:pt idx="547">
                  <c:v>296.01089200000001</c:v>
                </c:pt>
                <c:pt idx="548">
                  <c:v>335.11999989999998</c:v>
                </c:pt>
                <c:pt idx="549">
                  <c:v>335.11999989999998</c:v>
                </c:pt>
                <c:pt idx="550">
                  <c:v>335.11999989999998</c:v>
                </c:pt>
                <c:pt idx="551">
                  <c:v>335.29907969999999</c:v>
                </c:pt>
                <c:pt idx="552">
                  <c:v>389.2266904</c:v>
                </c:pt>
                <c:pt idx="553">
                  <c:v>388.10572330000002</c:v>
                </c:pt>
                <c:pt idx="554">
                  <c:v>387.79017090000002</c:v>
                </c:pt>
                <c:pt idx="555">
                  <c:v>388.48163039999997</c:v>
                </c:pt>
                <c:pt idx="556">
                  <c:v>393.77612340000002</c:v>
                </c:pt>
                <c:pt idx="557">
                  <c:v>393.42927070000002</c:v>
                </c:pt>
                <c:pt idx="558">
                  <c:v>371.72066330000001</c:v>
                </c:pt>
                <c:pt idx="559">
                  <c:v>372.05168709999998</c:v>
                </c:pt>
                <c:pt idx="560">
                  <c:v>347.89999990000001</c:v>
                </c:pt>
                <c:pt idx="561">
                  <c:v>347.89999990000001</c:v>
                </c:pt>
                <c:pt idx="562">
                  <c:v>347.89999990000001</c:v>
                </c:pt>
                <c:pt idx="563">
                  <c:v>347.9012098</c:v>
                </c:pt>
                <c:pt idx="564">
                  <c:v>303.8729457</c:v>
                </c:pt>
                <c:pt idx="565">
                  <c:v>303.49830370000001</c:v>
                </c:pt>
                <c:pt idx="566">
                  <c:v>303.52365350000002</c:v>
                </c:pt>
                <c:pt idx="567">
                  <c:v>303.4993121</c:v>
                </c:pt>
                <c:pt idx="568">
                  <c:v>292.80195220000002</c:v>
                </c:pt>
                <c:pt idx="569">
                  <c:v>292.66999989999999</c:v>
                </c:pt>
                <c:pt idx="570">
                  <c:v>292.66999989999999</c:v>
                </c:pt>
                <c:pt idx="571">
                  <c:v>292.67166159999999</c:v>
                </c:pt>
                <c:pt idx="572">
                  <c:v>348.99999969999999</c:v>
                </c:pt>
                <c:pt idx="573">
                  <c:v>349</c:v>
                </c:pt>
                <c:pt idx="574">
                  <c:v>294.33109940000003</c:v>
                </c:pt>
                <c:pt idx="575">
                  <c:v>294.23018409999997</c:v>
                </c:pt>
                <c:pt idx="576">
                  <c:v>159.2199999</c:v>
                </c:pt>
                <c:pt idx="577">
                  <c:v>349</c:v>
                </c:pt>
                <c:pt idx="578">
                  <c:v>349</c:v>
                </c:pt>
                <c:pt idx="579">
                  <c:v>349</c:v>
                </c:pt>
                <c:pt idx="580">
                  <c:v>283.36983859999998</c:v>
                </c:pt>
                <c:pt idx="581">
                  <c:v>349</c:v>
                </c:pt>
                <c:pt idx="582">
                  <c:v>349</c:v>
                </c:pt>
                <c:pt idx="583">
                  <c:v>349</c:v>
                </c:pt>
                <c:pt idx="584">
                  <c:v>315.02999990000001</c:v>
                </c:pt>
                <c:pt idx="585">
                  <c:v>271.51635979999998</c:v>
                </c:pt>
                <c:pt idx="586">
                  <c:v>275.97669669999999</c:v>
                </c:pt>
                <c:pt idx="587">
                  <c:v>276.05212870000003</c:v>
                </c:pt>
                <c:pt idx="588">
                  <c:v>310.05999989999998</c:v>
                </c:pt>
                <c:pt idx="589">
                  <c:v>274.51875899999999</c:v>
                </c:pt>
                <c:pt idx="590">
                  <c:v>271.54898229999998</c:v>
                </c:pt>
                <c:pt idx="591">
                  <c:v>271.68029769999998</c:v>
                </c:pt>
                <c:pt idx="592">
                  <c:v>275.81950180000001</c:v>
                </c:pt>
                <c:pt idx="593">
                  <c:v>276.2989728</c:v>
                </c:pt>
                <c:pt idx="594">
                  <c:v>275.47512490000003</c:v>
                </c:pt>
                <c:pt idx="595">
                  <c:v>276.05577820000002</c:v>
                </c:pt>
                <c:pt idx="596">
                  <c:v>275.90995989999999</c:v>
                </c:pt>
                <c:pt idx="597">
                  <c:v>273.97201250000001</c:v>
                </c:pt>
                <c:pt idx="598">
                  <c:v>274.27910780000002</c:v>
                </c:pt>
                <c:pt idx="599">
                  <c:v>274.06911380000003</c:v>
                </c:pt>
                <c:pt idx="600">
                  <c:v>277.93854019999998</c:v>
                </c:pt>
                <c:pt idx="601">
                  <c:v>279.0931956</c:v>
                </c:pt>
                <c:pt idx="602">
                  <c:v>277.09116069999999</c:v>
                </c:pt>
                <c:pt idx="603">
                  <c:v>277.78426389999998</c:v>
                </c:pt>
                <c:pt idx="604">
                  <c:v>270.81471390000002</c:v>
                </c:pt>
                <c:pt idx="605">
                  <c:v>272.45636839999997</c:v>
                </c:pt>
                <c:pt idx="606">
                  <c:v>272.35849150000001</c:v>
                </c:pt>
                <c:pt idx="607">
                  <c:v>273.21409679999999</c:v>
                </c:pt>
                <c:pt idx="608">
                  <c:v>274.36987110000001</c:v>
                </c:pt>
                <c:pt idx="609">
                  <c:v>274.18720009999998</c:v>
                </c:pt>
                <c:pt idx="610">
                  <c:v>273.27123870000003</c:v>
                </c:pt>
                <c:pt idx="611">
                  <c:v>275.31792739999997</c:v>
                </c:pt>
                <c:pt idx="612">
                  <c:v>276.69685329999999</c:v>
                </c:pt>
                <c:pt idx="613">
                  <c:v>276.00643939999998</c:v>
                </c:pt>
                <c:pt idx="614">
                  <c:v>276.80261289999999</c:v>
                </c:pt>
                <c:pt idx="615">
                  <c:v>276.57934310000002</c:v>
                </c:pt>
                <c:pt idx="616">
                  <c:v>159.21992320000001</c:v>
                </c:pt>
                <c:pt idx="617">
                  <c:v>277.61522480000002</c:v>
                </c:pt>
                <c:pt idx="618">
                  <c:v>278.62494620000001</c:v>
                </c:pt>
                <c:pt idx="619">
                  <c:v>278.65819909999999</c:v>
                </c:pt>
                <c:pt idx="620">
                  <c:v>281.45020890000001</c:v>
                </c:pt>
                <c:pt idx="621">
                  <c:v>280.7309558</c:v>
                </c:pt>
                <c:pt idx="622">
                  <c:v>279.46239159999999</c:v>
                </c:pt>
                <c:pt idx="623">
                  <c:v>279.82107139999999</c:v>
                </c:pt>
                <c:pt idx="624">
                  <c:v>277.40622580000002</c:v>
                </c:pt>
                <c:pt idx="625">
                  <c:v>274.82899040000001</c:v>
                </c:pt>
                <c:pt idx="626">
                  <c:v>273.25489959999999</c:v>
                </c:pt>
                <c:pt idx="627">
                  <c:v>275.00146590000003</c:v>
                </c:pt>
                <c:pt idx="628">
                  <c:v>279.77495570000002</c:v>
                </c:pt>
                <c:pt idx="629">
                  <c:v>279.67028440000001</c:v>
                </c:pt>
                <c:pt idx="630">
                  <c:v>279.25860160000002</c:v>
                </c:pt>
                <c:pt idx="631">
                  <c:v>279.28212380000002</c:v>
                </c:pt>
                <c:pt idx="632">
                  <c:v>159.2085539</c:v>
                </c:pt>
                <c:pt idx="633">
                  <c:v>282.89198090000002</c:v>
                </c:pt>
                <c:pt idx="634">
                  <c:v>283.3676418</c:v>
                </c:pt>
                <c:pt idx="635">
                  <c:v>282.93939890000001</c:v>
                </c:pt>
                <c:pt idx="636">
                  <c:v>284.5940377</c:v>
                </c:pt>
                <c:pt idx="637">
                  <c:v>284.90567199999998</c:v>
                </c:pt>
                <c:pt idx="638">
                  <c:v>285.36909309999999</c:v>
                </c:pt>
                <c:pt idx="639">
                  <c:v>285.2324959</c:v>
                </c:pt>
                <c:pt idx="640">
                  <c:v>293.86767500000002</c:v>
                </c:pt>
                <c:pt idx="641">
                  <c:v>297.54108719999999</c:v>
                </c:pt>
                <c:pt idx="642">
                  <c:v>286.96653930000002</c:v>
                </c:pt>
                <c:pt idx="643">
                  <c:v>287.32821430000001</c:v>
                </c:pt>
                <c:pt idx="644">
                  <c:v>349.18339580000003</c:v>
                </c:pt>
                <c:pt idx="645">
                  <c:v>337.79475639999998</c:v>
                </c:pt>
                <c:pt idx="646">
                  <c:v>338.87235980000003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1300</c:v>
                </c:pt>
                <c:pt idx="651">
                  <c:v>1300</c:v>
                </c:pt>
                <c:pt idx="652">
                  <c:v>1300</c:v>
                </c:pt>
                <c:pt idx="653">
                  <c:v>1300</c:v>
                </c:pt>
                <c:pt idx="654">
                  <c:v>1300</c:v>
                </c:pt>
                <c:pt idx="655">
                  <c:v>1300</c:v>
                </c:pt>
                <c:pt idx="656">
                  <c:v>1300</c:v>
                </c:pt>
                <c:pt idx="657">
                  <c:v>1300</c:v>
                </c:pt>
                <c:pt idx="658">
                  <c:v>1300</c:v>
                </c:pt>
                <c:pt idx="659">
                  <c:v>1300</c:v>
                </c:pt>
                <c:pt idx="660">
                  <c:v>347.25249589999999</c:v>
                </c:pt>
                <c:pt idx="661">
                  <c:v>347.09453889999998</c:v>
                </c:pt>
                <c:pt idx="662">
                  <c:v>347.43367050000001</c:v>
                </c:pt>
                <c:pt idx="663">
                  <c:v>347.08312439999997</c:v>
                </c:pt>
                <c:pt idx="664">
                  <c:v>329.64063829999998</c:v>
                </c:pt>
                <c:pt idx="665">
                  <c:v>329.17643120000002</c:v>
                </c:pt>
                <c:pt idx="666">
                  <c:v>329.27618260000003</c:v>
                </c:pt>
                <c:pt idx="667">
                  <c:v>329.23256800000001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44627</c:v>
                </c:pt>
                <c:pt idx="1">
                  <c:v>44627.010416666664</c:v>
                </c:pt>
                <c:pt idx="2">
                  <c:v>44627.020833333336</c:v>
                </c:pt>
                <c:pt idx="3">
                  <c:v>44627.03125</c:v>
                </c:pt>
                <c:pt idx="4">
                  <c:v>44627.041666666664</c:v>
                </c:pt>
                <c:pt idx="5">
                  <c:v>44627.052083333336</c:v>
                </c:pt>
                <c:pt idx="6">
                  <c:v>44627.0625</c:v>
                </c:pt>
                <c:pt idx="7">
                  <c:v>44627.072916666664</c:v>
                </c:pt>
                <c:pt idx="8">
                  <c:v>44627.083333333336</c:v>
                </c:pt>
                <c:pt idx="9">
                  <c:v>44627.09375</c:v>
                </c:pt>
                <c:pt idx="10">
                  <c:v>44627.104166666664</c:v>
                </c:pt>
                <c:pt idx="11">
                  <c:v>44627.114583333336</c:v>
                </c:pt>
                <c:pt idx="12">
                  <c:v>44627.125</c:v>
                </c:pt>
                <c:pt idx="13">
                  <c:v>44627.135416666664</c:v>
                </c:pt>
                <c:pt idx="14">
                  <c:v>44627.145833333336</c:v>
                </c:pt>
                <c:pt idx="15">
                  <c:v>44627.15625</c:v>
                </c:pt>
                <c:pt idx="16">
                  <c:v>44627.166666666664</c:v>
                </c:pt>
                <c:pt idx="17">
                  <c:v>44627.177083333336</c:v>
                </c:pt>
                <c:pt idx="18">
                  <c:v>44627.1875</c:v>
                </c:pt>
                <c:pt idx="19">
                  <c:v>44627.197916666664</c:v>
                </c:pt>
                <c:pt idx="20">
                  <c:v>44627.208333333336</c:v>
                </c:pt>
                <c:pt idx="21">
                  <c:v>44627.21875</c:v>
                </c:pt>
                <c:pt idx="22">
                  <c:v>44627.229166666664</c:v>
                </c:pt>
                <c:pt idx="23">
                  <c:v>44627.239583333336</c:v>
                </c:pt>
                <c:pt idx="24">
                  <c:v>44627.25</c:v>
                </c:pt>
                <c:pt idx="25">
                  <c:v>44627.260416666664</c:v>
                </c:pt>
                <c:pt idx="26">
                  <c:v>44627.270833333336</c:v>
                </c:pt>
                <c:pt idx="27">
                  <c:v>44627.28125</c:v>
                </c:pt>
                <c:pt idx="28">
                  <c:v>44627.291666666664</c:v>
                </c:pt>
                <c:pt idx="29">
                  <c:v>44627.302083333336</c:v>
                </c:pt>
                <c:pt idx="30">
                  <c:v>44627.3125</c:v>
                </c:pt>
                <c:pt idx="31">
                  <c:v>44627.322916666664</c:v>
                </c:pt>
                <c:pt idx="32">
                  <c:v>44627.333333333336</c:v>
                </c:pt>
                <c:pt idx="33">
                  <c:v>44627.34375</c:v>
                </c:pt>
                <c:pt idx="34">
                  <c:v>44627.354166666664</c:v>
                </c:pt>
                <c:pt idx="35">
                  <c:v>44627.364583333336</c:v>
                </c:pt>
                <c:pt idx="36">
                  <c:v>44627.375</c:v>
                </c:pt>
                <c:pt idx="37">
                  <c:v>44627.385416666664</c:v>
                </c:pt>
                <c:pt idx="38">
                  <c:v>44627.395833333336</c:v>
                </c:pt>
                <c:pt idx="39">
                  <c:v>44627.40625</c:v>
                </c:pt>
                <c:pt idx="40">
                  <c:v>44627.416666666664</c:v>
                </c:pt>
                <c:pt idx="41">
                  <c:v>44627.427083333336</c:v>
                </c:pt>
                <c:pt idx="42">
                  <c:v>44627.4375</c:v>
                </c:pt>
                <c:pt idx="43">
                  <c:v>44627.447916666664</c:v>
                </c:pt>
                <c:pt idx="44">
                  <c:v>44627.458333333336</c:v>
                </c:pt>
                <c:pt idx="45">
                  <c:v>44627.46875</c:v>
                </c:pt>
                <c:pt idx="46">
                  <c:v>44627.479166666664</c:v>
                </c:pt>
                <c:pt idx="47">
                  <c:v>44627.489583333336</c:v>
                </c:pt>
                <c:pt idx="48">
                  <c:v>44627.5</c:v>
                </c:pt>
                <c:pt idx="49">
                  <c:v>44627.510416666664</c:v>
                </c:pt>
                <c:pt idx="50">
                  <c:v>44627.520833333336</c:v>
                </c:pt>
                <c:pt idx="51">
                  <c:v>44627.53125</c:v>
                </c:pt>
                <c:pt idx="52">
                  <c:v>44627.541666666664</c:v>
                </c:pt>
                <c:pt idx="53">
                  <c:v>44627.552083333336</c:v>
                </c:pt>
                <c:pt idx="54">
                  <c:v>44627.5625</c:v>
                </c:pt>
                <c:pt idx="55">
                  <c:v>44627.572916666664</c:v>
                </c:pt>
                <c:pt idx="56">
                  <c:v>44627.583333333336</c:v>
                </c:pt>
                <c:pt idx="57">
                  <c:v>44627.59375</c:v>
                </c:pt>
                <c:pt idx="58">
                  <c:v>44627.604166666664</c:v>
                </c:pt>
                <c:pt idx="59">
                  <c:v>44627.614583333336</c:v>
                </c:pt>
                <c:pt idx="60">
                  <c:v>44627.625</c:v>
                </c:pt>
                <c:pt idx="61">
                  <c:v>44627.635416666664</c:v>
                </c:pt>
                <c:pt idx="62">
                  <c:v>44627.645833333336</c:v>
                </c:pt>
                <c:pt idx="63">
                  <c:v>44627.65625</c:v>
                </c:pt>
                <c:pt idx="64">
                  <c:v>44627.666666666664</c:v>
                </c:pt>
                <c:pt idx="65">
                  <c:v>44627.677083333336</c:v>
                </c:pt>
                <c:pt idx="66">
                  <c:v>44627.6875</c:v>
                </c:pt>
                <c:pt idx="67">
                  <c:v>44627.697916666664</c:v>
                </c:pt>
                <c:pt idx="68">
                  <c:v>44627.708333333336</c:v>
                </c:pt>
                <c:pt idx="69">
                  <c:v>44627.71875</c:v>
                </c:pt>
                <c:pt idx="70">
                  <c:v>44627.729166666664</c:v>
                </c:pt>
                <c:pt idx="71">
                  <c:v>44627.739583333336</c:v>
                </c:pt>
                <c:pt idx="72">
                  <c:v>44627.75</c:v>
                </c:pt>
                <c:pt idx="73">
                  <c:v>44627.760416666664</c:v>
                </c:pt>
                <c:pt idx="74">
                  <c:v>44627.770833333336</c:v>
                </c:pt>
                <c:pt idx="75">
                  <c:v>44627.78125</c:v>
                </c:pt>
                <c:pt idx="76">
                  <c:v>44627.791666666664</c:v>
                </c:pt>
                <c:pt idx="77">
                  <c:v>44627.802083333336</c:v>
                </c:pt>
                <c:pt idx="78">
                  <c:v>44627.8125</c:v>
                </c:pt>
                <c:pt idx="79">
                  <c:v>44627.822916666664</c:v>
                </c:pt>
                <c:pt idx="80">
                  <c:v>44627.833333333336</c:v>
                </c:pt>
                <c:pt idx="81">
                  <c:v>44627.84375</c:v>
                </c:pt>
                <c:pt idx="82">
                  <c:v>44627.854166666664</c:v>
                </c:pt>
                <c:pt idx="83">
                  <c:v>44627.864583333336</c:v>
                </c:pt>
                <c:pt idx="84">
                  <c:v>44627.875</c:v>
                </c:pt>
                <c:pt idx="85">
                  <c:v>44627.885416666664</c:v>
                </c:pt>
                <c:pt idx="86">
                  <c:v>44627.895833333336</c:v>
                </c:pt>
                <c:pt idx="87">
                  <c:v>44627.90625</c:v>
                </c:pt>
                <c:pt idx="88">
                  <c:v>44627.916666666664</c:v>
                </c:pt>
                <c:pt idx="89">
                  <c:v>44627.927083333336</c:v>
                </c:pt>
                <c:pt idx="90">
                  <c:v>44627.9375</c:v>
                </c:pt>
                <c:pt idx="91">
                  <c:v>44627.947916666664</c:v>
                </c:pt>
                <c:pt idx="92">
                  <c:v>44627.958333333336</c:v>
                </c:pt>
                <c:pt idx="93">
                  <c:v>44627.96875</c:v>
                </c:pt>
                <c:pt idx="94">
                  <c:v>44627.979166666664</c:v>
                </c:pt>
                <c:pt idx="95">
                  <c:v>44627.989583333336</c:v>
                </c:pt>
                <c:pt idx="96">
                  <c:v>44628</c:v>
                </c:pt>
                <c:pt idx="97">
                  <c:v>44628.010416666664</c:v>
                </c:pt>
                <c:pt idx="98">
                  <c:v>44628.020833333336</c:v>
                </c:pt>
                <c:pt idx="99">
                  <c:v>44628.03125</c:v>
                </c:pt>
                <c:pt idx="100">
                  <c:v>44628.041666666664</c:v>
                </c:pt>
                <c:pt idx="101">
                  <c:v>44628.052083333336</c:v>
                </c:pt>
                <c:pt idx="102">
                  <c:v>44628.0625</c:v>
                </c:pt>
                <c:pt idx="103">
                  <c:v>44628.072916666664</c:v>
                </c:pt>
                <c:pt idx="104">
                  <c:v>44628.083333333336</c:v>
                </c:pt>
                <c:pt idx="105">
                  <c:v>44628.09375</c:v>
                </c:pt>
                <c:pt idx="106">
                  <c:v>44628.104166666664</c:v>
                </c:pt>
                <c:pt idx="107">
                  <c:v>44628.114583333336</c:v>
                </c:pt>
                <c:pt idx="108">
                  <c:v>44628.125</c:v>
                </c:pt>
                <c:pt idx="109">
                  <c:v>44628.135416666664</c:v>
                </c:pt>
                <c:pt idx="110">
                  <c:v>44628.145833333336</c:v>
                </c:pt>
                <c:pt idx="111">
                  <c:v>44628.15625</c:v>
                </c:pt>
                <c:pt idx="112">
                  <c:v>44628.166666666664</c:v>
                </c:pt>
                <c:pt idx="113">
                  <c:v>44628.177083333336</c:v>
                </c:pt>
                <c:pt idx="114">
                  <c:v>44628.1875</c:v>
                </c:pt>
                <c:pt idx="115">
                  <c:v>44628.197916666664</c:v>
                </c:pt>
                <c:pt idx="116">
                  <c:v>44628.208333333336</c:v>
                </c:pt>
                <c:pt idx="117">
                  <c:v>44628.21875</c:v>
                </c:pt>
                <c:pt idx="118">
                  <c:v>44628.229166666664</c:v>
                </c:pt>
                <c:pt idx="119">
                  <c:v>44628.239583333336</c:v>
                </c:pt>
                <c:pt idx="120">
                  <c:v>44628.25</c:v>
                </c:pt>
                <c:pt idx="121">
                  <c:v>44628.260416666664</c:v>
                </c:pt>
                <c:pt idx="122">
                  <c:v>44628.270833333336</c:v>
                </c:pt>
                <c:pt idx="123">
                  <c:v>44628.28125</c:v>
                </c:pt>
                <c:pt idx="124">
                  <c:v>44628.291666666664</c:v>
                </c:pt>
                <c:pt idx="125">
                  <c:v>44628.302083333336</c:v>
                </c:pt>
                <c:pt idx="126">
                  <c:v>44628.3125</c:v>
                </c:pt>
                <c:pt idx="127">
                  <c:v>44628.322916666664</c:v>
                </c:pt>
                <c:pt idx="128">
                  <c:v>44628.333333333336</c:v>
                </c:pt>
                <c:pt idx="129">
                  <c:v>44628.34375</c:v>
                </c:pt>
                <c:pt idx="130">
                  <c:v>44628.354166666664</c:v>
                </c:pt>
                <c:pt idx="131">
                  <c:v>44628.364583333336</c:v>
                </c:pt>
                <c:pt idx="132">
                  <c:v>44628.375</c:v>
                </c:pt>
                <c:pt idx="133">
                  <c:v>44628.385416666664</c:v>
                </c:pt>
                <c:pt idx="134">
                  <c:v>44628.395833333336</c:v>
                </c:pt>
                <c:pt idx="135">
                  <c:v>44628.40625</c:v>
                </c:pt>
                <c:pt idx="136">
                  <c:v>44628.416666666664</c:v>
                </c:pt>
                <c:pt idx="137">
                  <c:v>44628.427083333336</c:v>
                </c:pt>
                <c:pt idx="138">
                  <c:v>44628.4375</c:v>
                </c:pt>
                <c:pt idx="139">
                  <c:v>44628.447916666664</c:v>
                </c:pt>
                <c:pt idx="140">
                  <c:v>44628.458333333336</c:v>
                </c:pt>
                <c:pt idx="141">
                  <c:v>44628.46875</c:v>
                </c:pt>
                <c:pt idx="142">
                  <c:v>44628.479166666664</c:v>
                </c:pt>
                <c:pt idx="143">
                  <c:v>44628.489583333336</c:v>
                </c:pt>
                <c:pt idx="144">
                  <c:v>44628.5</c:v>
                </c:pt>
                <c:pt idx="145">
                  <c:v>44628.510416666664</c:v>
                </c:pt>
                <c:pt idx="146">
                  <c:v>44628.520833333336</c:v>
                </c:pt>
                <c:pt idx="147">
                  <c:v>44628.53125</c:v>
                </c:pt>
                <c:pt idx="148">
                  <c:v>44628.541666666664</c:v>
                </c:pt>
                <c:pt idx="149">
                  <c:v>44628.552083333336</c:v>
                </c:pt>
                <c:pt idx="150">
                  <c:v>44628.5625</c:v>
                </c:pt>
                <c:pt idx="151">
                  <c:v>44628.572916666664</c:v>
                </c:pt>
                <c:pt idx="152">
                  <c:v>44628.583333333336</c:v>
                </c:pt>
                <c:pt idx="153">
                  <c:v>44628.59375</c:v>
                </c:pt>
                <c:pt idx="154">
                  <c:v>44628.604166666664</c:v>
                </c:pt>
                <c:pt idx="155">
                  <c:v>44628.614583333336</c:v>
                </c:pt>
                <c:pt idx="156">
                  <c:v>44628.625</c:v>
                </c:pt>
                <c:pt idx="157">
                  <c:v>44628.635416666664</c:v>
                </c:pt>
                <c:pt idx="158">
                  <c:v>44628.645833333336</c:v>
                </c:pt>
                <c:pt idx="159">
                  <c:v>44628.65625</c:v>
                </c:pt>
                <c:pt idx="160">
                  <c:v>44628.666666666664</c:v>
                </c:pt>
                <c:pt idx="161">
                  <c:v>44628.677083333336</c:v>
                </c:pt>
                <c:pt idx="162">
                  <c:v>44628.6875</c:v>
                </c:pt>
                <c:pt idx="163">
                  <c:v>44628.697916666664</c:v>
                </c:pt>
                <c:pt idx="164">
                  <c:v>44628.708333333336</c:v>
                </c:pt>
                <c:pt idx="165">
                  <c:v>44628.71875</c:v>
                </c:pt>
                <c:pt idx="166">
                  <c:v>44628.729166666664</c:v>
                </c:pt>
                <c:pt idx="167">
                  <c:v>44628.739583333336</c:v>
                </c:pt>
                <c:pt idx="168">
                  <c:v>44628.75</c:v>
                </c:pt>
                <c:pt idx="169">
                  <c:v>44628.760416666664</c:v>
                </c:pt>
                <c:pt idx="170">
                  <c:v>44628.770833333336</c:v>
                </c:pt>
                <c:pt idx="171">
                  <c:v>44628.78125</c:v>
                </c:pt>
                <c:pt idx="172">
                  <c:v>44628.791666666664</c:v>
                </c:pt>
                <c:pt idx="173">
                  <c:v>44628.802083333336</c:v>
                </c:pt>
                <c:pt idx="174">
                  <c:v>44628.8125</c:v>
                </c:pt>
                <c:pt idx="175">
                  <c:v>44628.822916666664</c:v>
                </c:pt>
                <c:pt idx="176">
                  <c:v>44628.833333333336</c:v>
                </c:pt>
                <c:pt idx="177">
                  <c:v>44628.84375</c:v>
                </c:pt>
                <c:pt idx="178">
                  <c:v>44628.854166666664</c:v>
                </c:pt>
                <c:pt idx="179">
                  <c:v>44628.864583333336</c:v>
                </c:pt>
                <c:pt idx="180">
                  <c:v>44628.875</c:v>
                </c:pt>
                <c:pt idx="181">
                  <c:v>44628.885416666664</c:v>
                </c:pt>
                <c:pt idx="182">
                  <c:v>44628.895833333336</c:v>
                </c:pt>
                <c:pt idx="183">
                  <c:v>44628.90625</c:v>
                </c:pt>
                <c:pt idx="184">
                  <c:v>44628.916666666664</c:v>
                </c:pt>
                <c:pt idx="185">
                  <c:v>44628.927083333336</c:v>
                </c:pt>
                <c:pt idx="186">
                  <c:v>44628.9375</c:v>
                </c:pt>
                <c:pt idx="187">
                  <c:v>44628.947916666664</c:v>
                </c:pt>
                <c:pt idx="188">
                  <c:v>44628.958333333336</c:v>
                </c:pt>
                <c:pt idx="189">
                  <c:v>44628.96875</c:v>
                </c:pt>
                <c:pt idx="190">
                  <c:v>44628.979166666664</c:v>
                </c:pt>
                <c:pt idx="191">
                  <c:v>44628.989583333336</c:v>
                </c:pt>
                <c:pt idx="192">
                  <c:v>44629</c:v>
                </c:pt>
                <c:pt idx="193">
                  <c:v>44629.010416666664</c:v>
                </c:pt>
                <c:pt idx="194">
                  <c:v>44629.020833333336</c:v>
                </c:pt>
                <c:pt idx="195">
                  <c:v>44629.03125</c:v>
                </c:pt>
                <c:pt idx="196">
                  <c:v>44629.041666666664</c:v>
                </c:pt>
                <c:pt idx="197">
                  <c:v>44629.052083333336</c:v>
                </c:pt>
                <c:pt idx="198">
                  <c:v>44629.0625</c:v>
                </c:pt>
                <c:pt idx="199">
                  <c:v>44629.072916666664</c:v>
                </c:pt>
                <c:pt idx="200">
                  <c:v>44629.083333333336</c:v>
                </c:pt>
                <c:pt idx="201">
                  <c:v>44629.09375</c:v>
                </c:pt>
                <c:pt idx="202">
                  <c:v>44629.104166666664</c:v>
                </c:pt>
                <c:pt idx="203">
                  <c:v>44629.114583333336</c:v>
                </c:pt>
                <c:pt idx="204">
                  <c:v>44629.125</c:v>
                </c:pt>
                <c:pt idx="205">
                  <c:v>44629.135416666664</c:v>
                </c:pt>
                <c:pt idx="206">
                  <c:v>44629.145833333336</c:v>
                </c:pt>
                <c:pt idx="207">
                  <c:v>44629.15625</c:v>
                </c:pt>
                <c:pt idx="208">
                  <c:v>44629.166666666664</c:v>
                </c:pt>
                <c:pt idx="209">
                  <c:v>44629.177083333336</c:v>
                </c:pt>
                <c:pt idx="210">
                  <c:v>44629.1875</c:v>
                </c:pt>
                <c:pt idx="211">
                  <c:v>44629.197916666664</c:v>
                </c:pt>
                <c:pt idx="212">
                  <c:v>44629.208333333336</c:v>
                </c:pt>
                <c:pt idx="213">
                  <c:v>44629.21875</c:v>
                </c:pt>
                <c:pt idx="214">
                  <c:v>44629.229166666664</c:v>
                </c:pt>
                <c:pt idx="215">
                  <c:v>44629.239583333336</c:v>
                </c:pt>
                <c:pt idx="216">
                  <c:v>44629.25</c:v>
                </c:pt>
                <c:pt idx="217">
                  <c:v>44629.260416666664</c:v>
                </c:pt>
                <c:pt idx="218">
                  <c:v>44629.270833333336</c:v>
                </c:pt>
                <c:pt idx="219">
                  <c:v>44629.28125</c:v>
                </c:pt>
                <c:pt idx="220">
                  <c:v>44629.291666666664</c:v>
                </c:pt>
                <c:pt idx="221">
                  <c:v>44629.302083333336</c:v>
                </c:pt>
                <c:pt idx="222">
                  <c:v>44629.3125</c:v>
                </c:pt>
                <c:pt idx="223">
                  <c:v>44629.322916666664</c:v>
                </c:pt>
                <c:pt idx="224">
                  <c:v>44629.333333333336</c:v>
                </c:pt>
                <c:pt idx="225">
                  <c:v>44629.34375</c:v>
                </c:pt>
                <c:pt idx="226">
                  <c:v>44629.354166666664</c:v>
                </c:pt>
                <c:pt idx="227">
                  <c:v>44629.364583333336</c:v>
                </c:pt>
                <c:pt idx="228">
                  <c:v>44629.375</c:v>
                </c:pt>
                <c:pt idx="229">
                  <c:v>44629.385416666664</c:v>
                </c:pt>
                <c:pt idx="230">
                  <c:v>44629.395833333336</c:v>
                </c:pt>
                <c:pt idx="231">
                  <c:v>44629.40625</c:v>
                </c:pt>
                <c:pt idx="232">
                  <c:v>44629.416666666664</c:v>
                </c:pt>
                <c:pt idx="233">
                  <c:v>44629.427083333336</c:v>
                </c:pt>
                <c:pt idx="234">
                  <c:v>44629.4375</c:v>
                </c:pt>
                <c:pt idx="235">
                  <c:v>44629.447916666664</c:v>
                </c:pt>
                <c:pt idx="236">
                  <c:v>44629.458333333336</c:v>
                </c:pt>
                <c:pt idx="237">
                  <c:v>44629.46875</c:v>
                </c:pt>
                <c:pt idx="238">
                  <c:v>44629.479166666664</c:v>
                </c:pt>
                <c:pt idx="239">
                  <c:v>44629.489583333336</c:v>
                </c:pt>
                <c:pt idx="240">
                  <c:v>44629.5</c:v>
                </c:pt>
                <c:pt idx="241">
                  <c:v>44629.510416666664</c:v>
                </c:pt>
                <c:pt idx="242">
                  <c:v>44629.520833333336</c:v>
                </c:pt>
                <c:pt idx="243">
                  <c:v>44629.53125</c:v>
                </c:pt>
                <c:pt idx="244">
                  <c:v>44629.541666666664</c:v>
                </c:pt>
                <c:pt idx="245">
                  <c:v>44629.552083333336</c:v>
                </c:pt>
                <c:pt idx="246">
                  <c:v>44629.5625</c:v>
                </c:pt>
                <c:pt idx="247">
                  <c:v>44629.572916666664</c:v>
                </c:pt>
                <c:pt idx="248">
                  <c:v>44629.583333333336</c:v>
                </c:pt>
                <c:pt idx="249">
                  <c:v>44629.59375</c:v>
                </c:pt>
                <c:pt idx="250">
                  <c:v>44629.604166666664</c:v>
                </c:pt>
                <c:pt idx="251">
                  <c:v>44629.614583333336</c:v>
                </c:pt>
                <c:pt idx="252">
                  <c:v>44629.625</c:v>
                </c:pt>
                <c:pt idx="253">
                  <c:v>44629.635416666664</c:v>
                </c:pt>
                <c:pt idx="254">
                  <c:v>44629.645833333336</c:v>
                </c:pt>
                <c:pt idx="255">
                  <c:v>44629.65625</c:v>
                </c:pt>
                <c:pt idx="256">
                  <c:v>44629.666666666664</c:v>
                </c:pt>
                <c:pt idx="257">
                  <c:v>44629.677083333336</c:v>
                </c:pt>
                <c:pt idx="258">
                  <c:v>44629.6875</c:v>
                </c:pt>
                <c:pt idx="259">
                  <c:v>44629.697916666664</c:v>
                </c:pt>
                <c:pt idx="260">
                  <c:v>44629.708333333336</c:v>
                </c:pt>
                <c:pt idx="261">
                  <c:v>44629.71875</c:v>
                </c:pt>
                <c:pt idx="262">
                  <c:v>44629.729166666664</c:v>
                </c:pt>
                <c:pt idx="263">
                  <c:v>44629.739583333336</c:v>
                </c:pt>
                <c:pt idx="264">
                  <c:v>44629.75</c:v>
                </c:pt>
                <c:pt idx="265">
                  <c:v>44629.760416666664</c:v>
                </c:pt>
                <c:pt idx="266">
                  <c:v>44629.770833333336</c:v>
                </c:pt>
                <c:pt idx="267">
                  <c:v>44629.78125</c:v>
                </c:pt>
                <c:pt idx="268">
                  <c:v>44629.791666666664</c:v>
                </c:pt>
                <c:pt idx="269">
                  <c:v>44629.802083333336</c:v>
                </c:pt>
                <c:pt idx="270">
                  <c:v>44629.8125</c:v>
                </c:pt>
                <c:pt idx="271">
                  <c:v>44629.822916666664</c:v>
                </c:pt>
                <c:pt idx="272">
                  <c:v>44629.833333333336</c:v>
                </c:pt>
                <c:pt idx="273">
                  <c:v>44629.84375</c:v>
                </c:pt>
                <c:pt idx="274">
                  <c:v>44629.854166666664</c:v>
                </c:pt>
                <c:pt idx="275">
                  <c:v>44629.864583333336</c:v>
                </c:pt>
                <c:pt idx="276">
                  <c:v>44629.875</c:v>
                </c:pt>
                <c:pt idx="277">
                  <c:v>44629.885416666664</c:v>
                </c:pt>
                <c:pt idx="278">
                  <c:v>44629.895833333336</c:v>
                </c:pt>
                <c:pt idx="279">
                  <c:v>44629.90625</c:v>
                </c:pt>
                <c:pt idx="280">
                  <c:v>44629.916666666664</c:v>
                </c:pt>
                <c:pt idx="281">
                  <c:v>44629.927083333336</c:v>
                </c:pt>
                <c:pt idx="282">
                  <c:v>44629.9375</c:v>
                </c:pt>
                <c:pt idx="283">
                  <c:v>44629.947916666664</c:v>
                </c:pt>
                <c:pt idx="284">
                  <c:v>44629.958333333336</c:v>
                </c:pt>
                <c:pt idx="285">
                  <c:v>44629.96875</c:v>
                </c:pt>
                <c:pt idx="286">
                  <c:v>44629.979166666664</c:v>
                </c:pt>
                <c:pt idx="287">
                  <c:v>44629.989583333336</c:v>
                </c:pt>
                <c:pt idx="288">
                  <c:v>44630</c:v>
                </c:pt>
                <c:pt idx="289">
                  <c:v>44630.010416666664</c:v>
                </c:pt>
                <c:pt idx="290">
                  <c:v>44630.020833333336</c:v>
                </c:pt>
                <c:pt idx="291">
                  <c:v>44630.03125</c:v>
                </c:pt>
                <c:pt idx="292">
                  <c:v>44630.041666666664</c:v>
                </c:pt>
                <c:pt idx="293">
                  <c:v>44630.052083333336</c:v>
                </c:pt>
                <c:pt idx="294">
                  <c:v>44630.0625</c:v>
                </c:pt>
                <c:pt idx="295">
                  <c:v>44630.072916666664</c:v>
                </c:pt>
                <c:pt idx="296">
                  <c:v>44630.083333333336</c:v>
                </c:pt>
                <c:pt idx="297">
                  <c:v>44630.09375</c:v>
                </c:pt>
                <c:pt idx="298">
                  <c:v>44630.104166666664</c:v>
                </c:pt>
                <c:pt idx="299">
                  <c:v>44630.114583333336</c:v>
                </c:pt>
                <c:pt idx="300">
                  <c:v>44630.125</c:v>
                </c:pt>
                <c:pt idx="301">
                  <c:v>44630.135416666664</c:v>
                </c:pt>
                <c:pt idx="302">
                  <c:v>44630.145833333336</c:v>
                </c:pt>
                <c:pt idx="303">
                  <c:v>44630.15625</c:v>
                </c:pt>
                <c:pt idx="304">
                  <c:v>44630.166666666664</c:v>
                </c:pt>
                <c:pt idx="305">
                  <c:v>44630.177083333336</c:v>
                </c:pt>
                <c:pt idx="306">
                  <c:v>44630.1875</c:v>
                </c:pt>
                <c:pt idx="307">
                  <c:v>44630.197916666664</c:v>
                </c:pt>
                <c:pt idx="308">
                  <c:v>44630.208333333336</c:v>
                </c:pt>
                <c:pt idx="309">
                  <c:v>44630.21875</c:v>
                </c:pt>
                <c:pt idx="310">
                  <c:v>44630.229166666664</c:v>
                </c:pt>
                <c:pt idx="311">
                  <c:v>44630.239583333336</c:v>
                </c:pt>
                <c:pt idx="312">
                  <c:v>44630.25</c:v>
                </c:pt>
                <c:pt idx="313">
                  <c:v>44630.260416666664</c:v>
                </c:pt>
                <c:pt idx="314">
                  <c:v>44630.270833333336</c:v>
                </c:pt>
                <c:pt idx="315">
                  <c:v>44630.28125</c:v>
                </c:pt>
                <c:pt idx="316">
                  <c:v>44630.291666666664</c:v>
                </c:pt>
                <c:pt idx="317">
                  <c:v>44630.302083333336</c:v>
                </c:pt>
                <c:pt idx="318">
                  <c:v>44630.3125</c:v>
                </c:pt>
                <c:pt idx="319">
                  <c:v>44630.322916666664</c:v>
                </c:pt>
                <c:pt idx="320">
                  <c:v>44630.333333333336</c:v>
                </c:pt>
                <c:pt idx="321">
                  <c:v>44630.34375</c:v>
                </c:pt>
                <c:pt idx="322">
                  <c:v>44630.354166666664</c:v>
                </c:pt>
                <c:pt idx="323">
                  <c:v>44630.364583333336</c:v>
                </c:pt>
                <c:pt idx="324">
                  <c:v>44630.375</c:v>
                </c:pt>
                <c:pt idx="325">
                  <c:v>44630.385416666664</c:v>
                </c:pt>
                <c:pt idx="326">
                  <c:v>44630.395833333336</c:v>
                </c:pt>
                <c:pt idx="327">
                  <c:v>44630.40625</c:v>
                </c:pt>
                <c:pt idx="328">
                  <c:v>44630.416666666664</c:v>
                </c:pt>
                <c:pt idx="329">
                  <c:v>44630.427083333336</c:v>
                </c:pt>
                <c:pt idx="330">
                  <c:v>44630.4375</c:v>
                </c:pt>
                <c:pt idx="331">
                  <c:v>44630.447916666664</c:v>
                </c:pt>
                <c:pt idx="332">
                  <c:v>44630.458333333336</c:v>
                </c:pt>
                <c:pt idx="333">
                  <c:v>44630.46875</c:v>
                </c:pt>
                <c:pt idx="334">
                  <c:v>44630.479166666664</c:v>
                </c:pt>
                <c:pt idx="335">
                  <c:v>44630.489583333336</c:v>
                </c:pt>
                <c:pt idx="336">
                  <c:v>44630.5</c:v>
                </c:pt>
                <c:pt idx="337">
                  <c:v>44630.510416666664</c:v>
                </c:pt>
                <c:pt idx="338">
                  <c:v>44630.520833333336</c:v>
                </c:pt>
                <c:pt idx="339">
                  <c:v>44630.53125</c:v>
                </c:pt>
                <c:pt idx="340">
                  <c:v>44630.541666666664</c:v>
                </c:pt>
                <c:pt idx="341">
                  <c:v>44630.552083333336</c:v>
                </c:pt>
                <c:pt idx="342">
                  <c:v>44630.5625</c:v>
                </c:pt>
                <c:pt idx="343">
                  <c:v>44630.572916666664</c:v>
                </c:pt>
                <c:pt idx="344">
                  <c:v>44630.583333333336</c:v>
                </c:pt>
                <c:pt idx="345">
                  <c:v>44630.59375</c:v>
                </c:pt>
                <c:pt idx="346">
                  <c:v>44630.604166666664</c:v>
                </c:pt>
                <c:pt idx="347">
                  <c:v>44630.614583333336</c:v>
                </c:pt>
                <c:pt idx="348">
                  <c:v>44630.625</c:v>
                </c:pt>
                <c:pt idx="349">
                  <c:v>44630.635416666664</c:v>
                </c:pt>
                <c:pt idx="350">
                  <c:v>44630.645833333336</c:v>
                </c:pt>
                <c:pt idx="351">
                  <c:v>44630.65625</c:v>
                </c:pt>
                <c:pt idx="352">
                  <c:v>44630.666666666664</c:v>
                </c:pt>
                <c:pt idx="353">
                  <c:v>44630.677083333336</c:v>
                </c:pt>
                <c:pt idx="354">
                  <c:v>44630.6875</c:v>
                </c:pt>
                <c:pt idx="355">
                  <c:v>44630.697916666664</c:v>
                </c:pt>
                <c:pt idx="356">
                  <c:v>44630.708333333336</c:v>
                </c:pt>
                <c:pt idx="357">
                  <c:v>44630.71875</c:v>
                </c:pt>
                <c:pt idx="358">
                  <c:v>44630.729166666664</c:v>
                </c:pt>
                <c:pt idx="359">
                  <c:v>44630.739583333336</c:v>
                </c:pt>
                <c:pt idx="360">
                  <c:v>44630.75</c:v>
                </c:pt>
                <c:pt idx="361">
                  <c:v>44630.760416666664</c:v>
                </c:pt>
                <c:pt idx="362">
                  <c:v>44630.770833333336</c:v>
                </c:pt>
                <c:pt idx="363">
                  <c:v>44630.78125</c:v>
                </c:pt>
                <c:pt idx="364">
                  <c:v>44630.791666666664</c:v>
                </c:pt>
                <c:pt idx="365">
                  <c:v>44630.802083333336</c:v>
                </c:pt>
                <c:pt idx="366">
                  <c:v>44630.8125</c:v>
                </c:pt>
                <c:pt idx="367">
                  <c:v>44630.822916666664</c:v>
                </c:pt>
                <c:pt idx="368">
                  <c:v>44630.833333333336</c:v>
                </c:pt>
                <c:pt idx="369">
                  <c:v>44630.84375</c:v>
                </c:pt>
                <c:pt idx="370">
                  <c:v>44630.854166666664</c:v>
                </c:pt>
                <c:pt idx="371">
                  <c:v>44630.864583333336</c:v>
                </c:pt>
                <c:pt idx="372">
                  <c:v>44630.875</c:v>
                </c:pt>
                <c:pt idx="373">
                  <c:v>44630.885416666664</c:v>
                </c:pt>
                <c:pt idx="374">
                  <c:v>44630.895833333336</c:v>
                </c:pt>
                <c:pt idx="375">
                  <c:v>44630.90625</c:v>
                </c:pt>
                <c:pt idx="376">
                  <c:v>44630.916666666664</c:v>
                </c:pt>
                <c:pt idx="377">
                  <c:v>44630.927083333336</c:v>
                </c:pt>
                <c:pt idx="378">
                  <c:v>44630.9375</c:v>
                </c:pt>
                <c:pt idx="379">
                  <c:v>44630.947916666664</c:v>
                </c:pt>
                <c:pt idx="380">
                  <c:v>44630.958333333336</c:v>
                </c:pt>
                <c:pt idx="381">
                  <c:v>44630.96875</c:v>
                </c:pt>
                <c:pt idx="382">
                  <c:v>44630.979166666664</c:v>
                </c:pt>
                <c:pt idx="383">
                  <c:v>44630.989583333336</c:v>
                </c:pt>
                <c:pt idx="384">
                  <c:v>44631</c:v>
                </c:pt>
                <c:pt idx="385">
                  <c:v>44631.010416666664</c:v>
                </c:pt>
                <c:pt idx="386">
                  <c:v>44631.020833333336</c:v>
                </c:pt>
                <c:pt idx="387">
                  <c:v>44631.03125</c:v>
                </c:pt>
                <c:pt idx="388">
                  <c:v>44631.041666666664</c:v>
                </c:pt>
                <c:pt idx="389">
                  <c:v>44631.052083333336</c:v>
                </c:pt>
                <c:pt idx="390">
                  <c:v>44631.0625</c:v>
                </c:pt>
                <c:pt idx="391">
                  <c:v>44631.072916666664</c:v>
                </c:pt>
                <c:pt idx="392">
                  <c:v>44631.083333333336</c:v>
                </c:pt>
                <c:pt idx="393">
                  <c:v>44631.09375</c:v>
                </c:pt>
                <c:pt idx="394">
                  <c:v>44631.104166666664</c:v>
                </c:pt>
                <c:pt idx="395">
                  <c:v>44631.114583333336</c:v>
                </c:pt>
                <c:pt idx="396">
                  <c:v>44631.125</c:v>
                </c:pt>
                <c:pt idx="397">
                  <c:v>44631.135416666664</c:v>
                </c:pt>
                <c:pt idx="398">
                  <c:v>44631.145833333336</c:v>
                </c:pt>
                <c:pt idx="399">
                  <c:v>44631.15625</c:v>
                </c:pt>
                <c:pt idx="400">
                  <c:v>44631.166666666664</c:v>
                </c:pt>
                <c:pt idx="401">
                  <c:v>44631.177083333336</c:v>
                </c:pt>
                <c:pt idx="402">
                  <c:v>44631.1875</c:v>
                </c:pt>
                <c:pt idx="403">
                  <c:v>44631.197916666664</c:v>
                </c:pt>
                <c:pt idx="404">
                  <c:v>44631.208333333336</c:v>
                </c:pt>
                <c:pt idx="405">
                  <c:v>44631.21875</c:v>
                </c:pt>
                <c:pt idx="406">
                  <c:v>44631.229166666664</c:v>
                </c:pt>
                <c:pt idx="407">
                  <c:v>44631.239583333336</c:v>
                </c:pt>
                <c:pt idx="408">
                  <c:v>44631.25</c:v>
                </c:pt>
                <c:pt idx="409">
                  <c:v>44631.260416666664</c:v>
                </c:pt>
                <c:pt idx="410">
                  <c:v>44631.270833333336</c:v>
                </c:pt>
                <c:pt idx="411">
                  <c:v>44631.28125</c:v>
                </c:pt>
                <c:pt idx="412">
                  <c:v>44631.291666666664</c:v>
                </c:pt>
                <c:pt idx="413">
                  <c:v>44631.302083333336</c:v>
                </c:pt>
                <c:pt idx="414">
                  <c:v>44631.3125</c:v>
                </c:pt>
                <c:pt idx="415">
                  <c:v>44631.322916666664</c:v>
                </c:pt>
                <c:pt idx="416">
                  <c:v>44631.333333333336</c:v>
                </c:pt>
                <c:pt idx="417">
                  <c:v>44631.34375</c:v>
                </c:pt>
                <c:pt idx="418">
                  <c:v>44631.354166666664</c:v>
                </c:pt>
                <c:pt idx="419">
                  <c:v>44631.364583333336</c:v>
                </c:pt>
                <c:pt idx="420">
                  <c:v>44631.375</c:v>
                </c:pt>
                <c:pt idx="421">
                  <c:v>44631.385416666664</c:v>
                </c:pt>
                <c:pt idx="422">
                  <c:v>44631.395833333336</c:v>
                </c:pt>
                <c:pt idx="423">
                  <c:v>44631.40625</c:v>
                </c:pt>
                <c:pt idx="424">
                  <c:v>44631.416666666664</c:v>
                </c:pt>
                <c:pt idx="425">
                  <c:v>44631.427083333336</c:v>
                </c:pt>
                <c:pt idx="426">
                  <c:v>44631.4375</c:v>
                </c:pt>
                <c:pt idx="427">
                  <c:v>44631.447916666664</c:v>
                </c:pt>
                <c:pt idx="428">
                  <c:v>44631.458333333336</c:v>
                </c:pt>
                <c:pt idx="429">
                  <c:v>44631.46875</c:v>
                </c:pt>
                <c:pt idx="430">
                  <c:v>44631.479166666664</c:v>
                </c:pt>
                <c:pt idx="431">
                  <c:v>44631.489583333336</c:v>
                </c:pt>
                <c:pt idx="432">
                  <c:v>44631.5</c:v>
                </c:pt>
                <c:pt idx="433">
                  <c:v>44631.510416666664</c:v>
                </c:pt>
                <c:pt idx="434">
                  <c:v>44631.520833333336</c:v>
                </c:pt>
                <c:pt idx="435">
                  <c:v>44631.53125</c:v>
                </c:pt>
                <c:pt idx="436">
                  <c:v>44631.541666666664</c:v>
                </c:pt>
                <c:pt idx="437">
                  <c:v>44631.552083333336</c:v>
                </c:pt>
                <c:pt idx="438">
                  <c:v>44631.5625</c:v>
                </c:pt>
                <c:pt idx="439">
                  <c:v>44631.572916666664</c:v>
                </c:pt>
                <c:pt idx="440">
                  <c:v>44631.583333333336</c:v>
                </c:pt>
                <c:pt idx="441">
                  <c:v>44631.59375</c:v>
                </c:pt>
                <c:pt idx="442">
                  <c:v>44631.604166666664</c:v>
                </c:pt>
                <c:pt idx="443">
                  <c:v>44631.614583333336</c:v>
                </c:pt>
                <c:pt idx="444">
                  <c:v>44631.625</c:v>
                </c:pt>
                <c:pt idx="445">
                  <c:v>44631.635416666664</c:v>
                </c:pt>
                <c:pt idx="446">
                  <c:v>44631.645833333336</c:v>
                </c:pt>
                <c:pt idx="447">
                  <c:v>44631.65625</c:v>
                </c:pt>
                <c:pt idx="448">
                  <c:v>44631.666666666664</c:v>
                </c:pt>
                <c:pt idx="449">
                  <c:v>44631.677083333336</c:v>
                </c:pt>
                <c:pt idx="450">
                  <c:v>44631.6875</c:v>
                </c:pt>
                <c:pt idx="451">
                  <c:v>44631.697916666664</c:v>
                </c:pt>
                <c:pt idx="452">
                  <c:v>44631.708333333336</c:v>
                </c:pt>
                <c:pt idx="453">
                  <c:v>44631.71875</c:v>
                </c:pt>
                <c:pt idx="454">
                  <c:v>44631.729166666664</c:v>
                </c:pt>
                <c:pt idx="455">
                  <c:v>44631.739583333336</c:v>
                </c:pt>
                <c:pt idx="456">
                  <c:v>44631.75</c:v>
                </c:pt>
                <c:pt idx="457">
                  <c:v>44631.760416666664</c:v>
                </c:pt>
                <c:pt idx="458">
                  <c:v>44631.770833333336</c:v>
                </c:pt>
                <c:pt idx="459">
                  <c:v>44631.78125</c:v>
                </c:pt>
                <c:pt idx="460">
                  <c:v>44631.791666666664</c:v>
                </c:pt>
                <c:pt idx="461">
                  <c:v>44631.802083333336</c:v>
                </c:pt>
                <c:pt idx="462">
                  <c:v>44631.8125</c:v>
                </c:pt>
                <c:pt idx="463">
                  <c:v>44631.822916666664</c:v>
                </c:pt>
                <c:pt idx="464">
                  <c:v>44631.833333333336</c:v>
                </c:pt>
                <c:pt idx="465">
                  <c:v>44631.84375</c:v>
                </c:pt>
                <c:pt idx="466">
                  <c:v>44631.854166666664</c:v>
                </c:pt>
                <c:pt idx="467">
                  <c:v>44631.864583333336</c:v>
                </c:pt>
                <c:pt idx="468">
                  <c:v>44631.875</c:v>
                </c:pt>
                <c:pt idx="469">
                  <c:v>44631.885416666664</c:v>
                </c:pt>
                <c:pt idx="470">
                  <c:v>44631.895833333336</c:v>
                </c:pt>
                <c:pt idx="471">
                  <c:v>44631.90625</c:v>
                </c:pt>
                <c:pt idx="472">
                  <c:v>44631.916666666664</c:v>
                </c:pt>
                <c:pt idx="473">
                  <c:v>44631.927083333336</c:v>
                </c:pt>
                <c:pt idx="474">
                  <c:v>44631.9375</c:v>
                </c:pt>
                <c:pt idx="475">
                  <c:v>44631.947916666664</c:v>
                </c:pt>
                <c:pt idx="476">
                  <c:v>44631.958333333336</c:v>
                </c:pt>
                <c:pt idx="477">
                  <c:v>44631.96875</c:v>
                </c:pt>
                <c:pt idx="478">
                  <c:v>44631.979166666664</c:v>
                </c:pt>
                <c:pt idx="479">
                  <c:v>44631.989583333336</c:v>
                </c:pt>
                <c:pt idx="480">
                  <c:v>44632</c:v>
                </c:pt>
                <c:pt idx="481">
                  <c:v>44632.010416666664</c:v>
                </c:pt>
                <c:pt idx="482">
                  <c:v>44632.020833333336</c:v>
                </c:pt>
                <c:pt idx="483">
                  <c:v>44632.03125</c:v>
                </c:pt>
                <c:pt idx="484">
                  <c:v>44632.041666666664</c:v>
                </c:pt>
                <c:pt idx="485">
                  <c:v>44632.052083333336</c:v>
                </c:pt>
                <c:pt idx="486">
                  <c:v>44632.0625</c:v>
                </c:pt>
                <c:pt idx="487">
                  <c:v>44632.072916666664</c:v>
                </c:pt>
                <c:pt idx="488">
                  <c:v>44632.083333333336</c:v>
                </c:pt>
                <c:pt idx="489">
                  <c:v>44632.09375</c:v>
                </c:pt>
                <c:pt idx="490">
                  <c:v>44632.104166666664</c:v>
                </c:pt>
                <c:pt idx="491">
                  <c:v>44632.114583333336</c:v>
                </c:pt>
                <c:pt idx="492">
                  <c:v>44632.125</c:v>
                </c:pt>
                <c:pt idx="493">
                  <c:v>44632.135416666664</c:v>
                </c:pt>
                <c:pt idx="494">
                  <c:v>44632.145833333336</c:v>
                </c:pt>
                <c:pt idx="495">
                  <c:v>44632.15625</c:v>
                </c:pt>
                <c:pt idx="496">
                  <c:v>44632.166666666664</c:v>
                </c:pt>
                <c:pt idx="497">
                  <c:v>44632.177083333336</c:v>
                </c:pt>
                <c:pt idx="498">
                  <c:v>44632.1875</c:v>
                </c:pt>
                <c:pt idx="499">
                  <c:v>44632.197916666664</c:v>
                </c:pt>
                <c:pt idx="500">
                  <c:v>44632.208333333336</c:v>
                </c:pt>
                <c:pt idx="501">
                  <c:v>44632.21875</c:v>
                </c:pt>
                <c:pt idx="502">
                  <c:v>44632.229166666664</c:v>
                </c:pt>
                <c:pt idx="503">
                  <c:v>44632.239583333336</c:v>
                </c:pt>
                <c:pt idx="504">
                  <c:v>44632.25</c:v>
                </c:pt>
                <c:pt idx="505">
                  <c:v>44632.260416666664</c:v>
                </c:pt>
                <c:pt idx="506">
                  <c:v>44632.270833333336</c:v>
                </c:pt>
                <c:pt idx="507">
                  <c:v>44632.28125</c:v>
                </c:pt>
                <c:pt idx="508">
                  <c:v>44632.291666666664</c:v>
                </c:pt>
                <c:pt idx="509">
                  <c:v>44632.302083333336</c:v>
                </c:pt>
                <c:pt idx="510">
                  <c:v>44632.3125</c:v>
                </c:pt>
                <c:pt idx="511">
                  <c:v>44632.322916666664</c:v>
                </c:pt>
                <c:pt idx="512">
                  <c:v>44632.333333333336</c:v>
                </c:pt>
                <c:pt idx="513">
                  <c:v>44632.34375</c:v>
                </c:pt>
                <c:pt idx="514">
                  <c:v>44632.354166666664</c:v>
                </c:pt>
                <c:pt idx="515">
                  <c:v>44632.364583333336</c:v>
                </c:pt>
                <c:pt idx="516">
                  <c:v>44632.375</c:v>
                </c:pt>
                <c:pt idx="517">
                  <c:v>44632.385416666664</c:v>
                </c:pt>
                <c:pt idx="518">
                  <c:v>44632.395833333336</c:v>
                </c:pt>
                <c:pt idx="519">
                  <c:v>44632.40625</c:v>
                </c:pt>
                <c:pt idx="520">
                  <c:v>44632.416666666664</c:v>
                </c:pt>
                <c:pt idx="521">
                  <c:v>44632.427083333336</c:v>
                </c:pt>
                <c:pt idx="522">
                  <c:v>44632.4375</c:v>
                </c:pt>
                <c:pt idx="523">
                  <c:v>44632.447916666664</c:v>
                </c:pt>
                <c:pt idx="524">
                  <c:v>44632.458333333336</c:v>
                </c:pt>
                <c:pt idx="525">
                  <c:v>44632.46875</c:v>
                </c:pt>
                <c:pt idx="526">
                  <c:v>44632.479166666664</c:v>
                </c:pt>
                <c:pt idx="527">
                  <c:v>44632.489583333336</c:v>
                </c:pt>
                <c:pt idx="528">
                  <c:v>44632.5</c:v>
                </c:pt>
                <c:pt idx="529">
                  <c:v>44632.510416666664</c:v>
                </c:pt>
                <c:pt idx="530">
                  <c:v>44632.520833333336</c:v>
                </c:pt>
                <c:pt idx="531">
                  <c:v>44632.53125</c:v>
                </c:pt>
                <c:pt idx="532">
                  <c:v>44632.541666666664</c:v>
                </c:pt>
                <c:pt idx="533">
                  <c:v>44632.552083333336</c:v>
                </c:pt>
                <c:pt idx="534">
                  <c:v>44632.5625</c:v>
                </c:pt>
                <c:pt idx="535">
                  <c:v>44632.572916666664</c:v>
                </c:pt>
                <c:pt idx="536">
                  <c:v>44632.583333333336</c:v>
                </c:pt>
                <c:pt idx="537">
                  <c:v>44632.59375</c:v>
                </c:pt>
                <c:pt idx="538">
                  <c:v>44632.604166666664</c:v>
                </c:pt>
                <c:pt idx="539">
                  <c:v>44632.614583333336</c:v>
                </c:pt>
                <c:pt idx="540">
                  <c:v>44632.625</c:v>
                </c:pt>
                <c:pt idx="541">
                  <c:v>44632.635416666664</c:v>
                </c:pt>
                <c:pt idx="542">
                  <c:v>44632.645833333336</c:v>
                </c:pt>
                <c:pt idx="543">
                  <c:v>44632.65625</c:v>
                </c:pt>
                <c:pt idx="544">
                  <c:v>44632.666666666664</c:v>
                </c:pt>
                <c:pt idx="545">
                  <c:v>44632.677083333336</c:v>
                </c:pt>
                <c:pt idx="546">
                  <c:v>44632.6875</c:v>
                </c:pt>
                <c:pt idx="547">
                  <c:v>44632.697916666664</c:v>
                </c:pt>
                <c:pt idx="548">
                  <c:v>44632.708333333336</c:v>
                </c:pt>
                <c:pt idx="549">
                  <c:v>44632.71875</c:v>
                </c:pt>
                <c:pt idx="550">
                  <c:v>44632.729166666664</c:v>
                </c:pt>
                <c:pt idx="551">
                  <c:v>44632.739583333336</c:v>
                </c:pt>
                <c:pt idx="552">
                  <c:v>44632.75</c:v>
                </c:pt>
                <c:pt idx="553">
                  <c:v>44632.760416666664</c:v>
                </c:pt>
                <c:pt idx="554">
                  <c:v>44632.770833333336</c:v>
                </c:pt>
                <c:pt idx="555">
                  <c:v>44632.78125</c:v>
                </c:pt>
                <c:pt idx="556">
                  <c:v>44632.791666666664</c:v>
                </c:pt>
                <c:pt idx="557">
                  <c:v>44632.802083333336</c:v>
                </c:pt>
                <c:pt idx="558">
                  <c:v>44632.8125</c:v>
                </c:pt>
                <c:pt idx="559">
                  <c:v>44632.822916666664</c:v>
                </c:pt>
                <c:pt idx="560">
                  <c:v>44632.833333333336</c:v>
                </c:pt>
                <c:pt idx="561">
                  <c:v>44632.84375</c:v>
                </c:pt>
                <c:pt idx="562">
                  <c:v>44632.854166666664</c:v>
                </c:pt>
                <c:pt idx="563">
                  <c:v>44632.864583333336</c:v>
                </c:pt>
                <c:pt idx="564">
                  <c:v>44632.875</c:v>
                </c:pt>
                <c:pt idx="565">
                  <c:v>44632.885416666664</c:v>
                </c:pt>
                <c:pt idx="566">
                  <c:v>44632.895833333336</c:v>
                </c:pt>
                <c:pt idx="567">
                  <c:v>44632.90625</c:v>
                </c:pt>
                <c:pt idx="568">
                  <c:v>44632.916666666664</c:v>
                </c:pt>
                <c:pt idx="569">
                  <c:v>44632.927083333336</c:v>
                </c:pt>
                <c:pt idx="570">
                  <c:v>44632.9375</c:v>
                </c:pt>
                <c:pt idx="571">
                  <c:v>44632.947916666664</c:v>
                </c:pt>
                <c:pt idx="572">
                  <c:v>44632.958333333336</c:v>
                </c:pt>
                <c:pt idx="573">
                  <c:v>44632.96875</c:v>
                </c:pt>
                <c:pt idx="574">
                  <c:v>44632.979166666664</c:v>
                </c:pt>
                <c:pt idx="575">
                  <c:v>44632.989583333336</c:v>
                </c:pt>
                <c:pt idx="576">
                  <c:v>44633</c:v>
                </c:pt>
                <c:pt idx="577">
                  <c:v>44633.010416666664</c:v>
                </c:pt>
                <c:pt idx="578">
                  <c:v>44633.020833333336</c:v>
                </c:pt>
                <c:pt idx="579">
                  <c:v>44633.03125</c:v>
                </c:pt>
                <c:pt idx="580">
                  <c:v>44633.041666666664</c:v>
                </c:pt>
                <c:pt idx="581">
                  <c:v>44633.052083333336</c:v>
                </c:pt>
                <c:pt idx="582">
                  <c:v>44633.0625</c:v>
                </c:pt>
                <c:pt idx="583">
                  <c:v>44633.072916666664</c:v>
                </c:pt>
                <c:pt idx="584">
                  <c:v>44633.083333333336</c:v>
                </c:pt>
                <c:pt idx="585">
                  <c:v>44633.09375</c:v>
                </c:pt>
                <c:pt idx="586">
                  <c:v>44633.104166666664</c:v>
                </c:pt>
                <c:pt idx="587">
                  <c:v>44633.114583333336</c:v>
                </c:pt>
                <c:pt idx="588">
                  <c:v>44633.125</c:v>
                </c:pt>
                <c:pt idx="589">
                  <c:v>44633.135416666664</c:v>
                </c:pt>
                <c:pt idx="590">
                  <c:v>44633.145833333336</c:v>
                </c:pt>
                <c:pt idx="591">
                  <c:v>44633.15625</c:v>
                </c:pt>
                <c:pt idx="592">
                  <c:v>44633.166666666664</c:v>
                </c:pt>
                <c:pt idx="593">
                  <c:v>44633.177083333336</c:v>
                </c:pt>
                <c:pt idx="594">
                  <c:v>44633.1875</c:v>
                </c:pt>
                <c:pt idx="595">
                  <c:v>44633.197916666664</c:v>
                </c:pt>
                <c:pt idx="596">
                  <c:v>44633.208333333336</c:v>
                </c:pt>
                <c:pt idx="597">
                  <c:v>44633.21875</c:v>
                </c:pt>
                <c:pt idx="598">
                  <c:v>44633.229166666664</c:v>
                </c:pt>
                <c:pt idx="599">
                  <c:v>44633.239583333336</c:v>
                </c:pt>
                <c:pt idx="600">
                  <c:v>44633.25</c:v>
                </c:pt>
                <c:pt idx="601">
                  <c:v>44633.260416666664</c:v>
                </c:pt>
                <c:pt idx="602">
                  <c:v>44633.270833333336</c:v>
                </c:pt>
                <c:pt idx="603">
                  <c:v>44633.28125</c:v>
                </c:pt>
                <c:pt idx="604">
                  <c:v>44633.291666666664</c:v>
                </c:pt>
                <c:pt idx="605">
                  <c:v>44633.302083333336</c:v>
                </c:pt>
                <c:pt idx="606">
                  <c:v>44633.3125</c:v>
                </c:pt>
                <c:pt idx="607">
                  <c:v>44633.322916666664</c:v>
                </c:pt>
                <c:pt idx="608">
                  <c:v>44633.333333333336</c:v>
                </c:pt>
                <c:pt idx="609">
                  <c:v>44633.34375</c:v>
                </c:pt>
                <c:pt idx="610">
                  <c:v>44633.354166666664</c:v>
                </c:pt>
                <c:pt idx="611">
                  <c:v>44633.364583333336</c:v>
                </c:pt>
                <c:pt idx="612">
                  <c:v>44633.375</c:v>
                </c:pt>
                <c:pt idx="613">
                  <c:v>44633.385416666664</c:v>
                </c:pt>
                <c:pt idx="614">
                  <c:v>44633.395833333336</c:v>
                </c:pt>
                <c:pt idx="615">
                  <c:v>44633.40625</c:v>
                </c:pt>
                <c:pt idx="616">
                  <c:v>44633.416666666664</c:v>
                </c:pt>
                <c:pt idx="617">
                  <c:v>44633.427083333336</c:v>
                </c:pt>
                <c:pt idx="618">
                  <c:v>44633.4375</c:v>
                </c:pt>
                <c:pt idx="619">
                  <c:v>44633.447916666664</c:v>
                </c:pt>
                <c:pt idx="620">
                  <c:v>44633.458333333336</c:v>
                </c:pt>
                <c:pt idx="621">
                  <c:v>44633.46875</c:v>
                </c:pt>
                <c:pt idx="622">
                  <c:v>44633.479166666664</c:v>
                </c:pt>
                <c:pt idx="623">
                  <c:v>44633.489583333336</c:v>
                </c:pt>
                <c:pt idx="624">
                  <c:v>44633.5</c:v>
                </c:pt>
                <c:pt idx="625">
                  <c:v>44633.510416666664</c:v>
                </c:pt>
                <c:pt idx="626">
                  <c:v>44633.520833333336</c:v>
                </c:pt>
                <c:pt idx="627">
                  <c:v>44633.53125</c:v>
                </c:pt>
                <c:pt idx="628">
                  <c:v>44633.541666666664</c:v>
                </c:pt>
                <c:pt idx="629">
                  <c:v>44633.552083333336</c:v>
                </c:pt>
                <c:pt idx="630">
                  <c:v>44633.5625</c:v>
                </c:pt>
                <c:pt idx="631">
                  <c:v>44633.572916666664</c:v>
                </c:pt>
                <c:pt idx="632">
                  <c:v>44633.583333333336</c:v>
                </c:pt>
                <c:pt idx="633">
                  <c:v>44633.59375</c:v>
                </c:pt>
                <c:pt idx="634">
                  <c:v>44633.604166666664</c:v>
                </c:pt>
                <c:pt idx="635">
                  <c:v>44633.614583333336</c:v>
                </c:pt>
                <c:pt idx="636">
                  <c:v>44633.625</c:v>
                </c:pt>
                <c:pt idx="637">
                  <c:v>44633.635416666664</c:v>
                </c:pt>
                <c:pt idx="638">
                  <c:v>44633.645833333336</c:v>
                </c:pt>
                <c:pt idx="639">
                  <c:v>44633.65625</c:v>
                </c:pt>
                <c:pt idx="640">
                  <c:v>44633.666666666664</c:v>
                </c:pt>
                <c:pt idx="641">
                  <c:v>44633.677083333336</c:v>
                </c:pt>
                <c:pt idx="642">
                  <c:v>44633.6875</c:v>
                </c:pt>
                <c:pt idx="643">
                  <c:v>44633.697916666664</c:v>
                </c:pt>
                <c:pt idx="644">
                  <c:v>44633.708333333336</c:v>
                </c:pt>
                <c:pt idx="645">
                  <c:v>44633.71875</c:v>
                </c:pt>
                <c:pt idx="646">
                  <c:v>44633.729166666664</c:v>
                </c:pt>
                <c:pt idx="647">
                  <c:v>44633.739583333336</c:v>
                </c:pt>
                <c:pt idx="648">
                  <c:v>44633.75</c:v>
                </c:pt>
                <c:pt idx="649">
                  <c:v>44633.760416666664</c:v>
                </c:pt>
                <c:pt idx="650">
                  <c:v>44633.770833333336</c:v>
                </c:pt>
                <c:pt idx="651">
                  <c:v>44633.78125</c:v>
                </c:pt>
                <c:pt idx="652">
                  <c:v>44633.791666666664</c:v>
                </c:pt>
                <c:pt idx="653">
                  <c:v>44633.802083333336</c:v>
                </c:pt>
                <c:pt idx="654">
                  <c:v>44633.8125</c:v>
                </c:pt>
                <c:pt idx="655">
                  <c:v>44633.822916666664</c:v>
                </c:pt>
                <c:pt idx="656">
                  <c:v>44633.833333333336</c:v>
                </c:pt>
                <c:pt idx="657">
                  <c:v>44633.84375</c:v>
                </c:pt>
                <c:pt idx="658">
                  <c:v>44633.854166666664</c:v>
                </c:pt>
                <c:pt idx="659">
                  <c:v>44633.864583333336</c:v>
                </c:pt>
                <c:pt idx="660">
                  <c:v>44633.875</c:v>
                </c:pt>
                <c:pt idx="661">
                  <c:v>44633.885416666664</c:v>
                </c:pt>
                <c:pt idx="662">
                  <c:v>44633.895833333336</c:v>
                </c:pt>
                <c:pt idx="663">
                  <c:v>44633.90625</c:v>
                </c:pt>
                <c:pt idx="664">
                  <c:v>44633.916666666664</c:v>
                </c:pt>
                <c:pt idx="665">
                  <c:v>44633.927083333336</c:v>
                </c:pt>
                <c:pt idx="666">
                  <c:v>44633.9375</c:v>
                </c:pt>
                <c:pt idx="667">
                  <c:v>44633.947916666664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13.19418858</c:v>
                </c:pt>
                <c:pt idx="1">
                  <c:v>12.18381566</c:v>
                </c:pt>
                <c:pt idx="2">
                  <c:v>12.16200982</c:v>
                </c:pt>
                <c:pt idx="3">
                  <c:v>12.4065645</c:v>
                </c:pt>
                <c:pt idx="4">
                  <c:v>9.1569730000000007</c:v>
                </c:pt>
                <c:pt idx="5">
                  <c:v>9.3726180400000008</c:v>
                </c:pt>
                <c:pt idx="6">
                  <c:v>9.1189264199999993</c:v>
                </c:pt>
                <c:pt idx="7">
                  <c:v>8.4175942300000006</c:v>
                </c:pt>
                <c:pt idx="8">
                  <c:v>7.4510679700000004</c:v>
                </c:pt>
                <c:pt idx="9">
                  <c:v>7.27204067</c:v>
                </c:pt>
                <c:pt idx="10">
                  <c:v>7.3720911999999998</c:v>
                </c:pt>
                <c:pt idx="11">
                  <c:v>8.7107038699999997</c:v>
                </c:pt>
                <c:pt idx="12">
                  <c:v>7.6413114200000001</c:v>
                </c:pt>
                <c:pt idx="13">
                  <c:v>7.5477419299999999</c:v>
                </c:pt>
                <c:pt idx="14">
                  <c:v>7.4203128700000001</c:v>
                </c:pt>
                <c:pt idx="15">
                  <c:v>7.2953515500000004</c:v>
                </c:pt>
                <c:pt idx="16">
                  <c:v>9.1938094899999996</c:v>
                </c:pt>
                <c:pt idx="17">
                  <c:v>9.4538312799999993</c:v>
                </c:pt>
                <c:pt idx="18">
                  <c:v>9.8321913199999997</c:v>
                </c:pt>
                <c:pt idx="19">
                  <c:v>9.7596427200000004</c:v>
                </c:pt>
                <c:pt idx="20">
                  <c:v>14.78641532</c:v>
                </c:pt>
                <c:pt idx="21">
                  <c:v>15.3596719</c:v>
                </c:pt>
                <c:pt idx="22">
                  <c:v>15.295021459999999</c:v>
                </c:pt>
                <c:pt idx="23">
                  <c:v>15.10671623</c:v>
                </c:pt>
                <c:pt idx="24">
                  <c:v>12.0134188</c:v>
                </c:pt>
                <c:pt idx="25">
                  <c:v>12.0499042</c:v>
                </c:pt>
                <c:pt idx="26">
                  <c:v>11.596334049999999</c:v>
                </c:pt>
                <c:pt idx="27">
                  <c:v>11.210993220000001</c:v>
                </c:pt>
                <c:pt idx="28">
                  <c:v>10.21336121</c:v>
                </c:pt>
                <c:pt idx="29">
                  <c:v>10.857152920000001</c:v>
                </c:pt>
                <c:pt idx="30">
                  <c:v>9.4241883000000009</c:v>
                </c:pt>
                <c:pt idx="31">
                  <c:v>9.4409277100000004</c:v>
                </c:pt>
                <c:pt idx="32">
                  <c:v>5.0589202899999997</c:v>
                </c:pt>
                <c:pt idx="33">
                  <c:v>4.2804024800000002</c:v>
                </c:pt>
                <c:pt idx="34">
                  <c:v>4.3580803299999999</c:v>
                </c:pt>
                <c:pt idx="35">
                  <c:v>4.5915774499999999</c:v>
                </c:pt>
                <c:pt idx="36">
                  <c:v>4.9316489800000003</c:v>
                </c:pt>
                <c:pt idx="37">
                  <c:v>4.5472807399999997</c:v>
                </c:pt>
                <c:pt idx="38">
                  <c:v>4.6018469099999999</c:v>
                </c:pt>
                <c:pt idx="39">
                  <c:v>4.2351054299999999</c:v>
                </c:pt>
                <c:pt idx="40">
                  <c:v>4.6057689100000001</c:v>
                </c:pt>
                <c:pt idx="41">
                  <c:v>4.68182893</c:v>
                </c:pt>
                <c:pt idx="42">
                  <c:v>4.5546419299999998</c:v>
                </c:pt>
                <c:pt idx="43">
                  <c:v>4.3161883599999999</c:v>
                </c:pt>
                <c:pt idx="44">
                  <c:v>4.1751819599999997</c:v>
                </c:pt>
                <c:pt idx="45">
                  <c:v>4.1548866499999999</c:v>
                </c:pt>
                <c:pt idx="46">
                  <c:v>4.1664571300000004</c:v>
                </c:pt>
                <c:pt idx="47">
                  <c:v>4.4097163899999998</c:v>
                </c:pt>
                <c:pt idx="48">
                  <c:v>4.9358412999999999</c:v>
                </c:pt>
                <c:pt idx="49">
                  <c:v>4.8061243899999999</c:v>
                </c:pt>
                <c:pt idx="50">
                  <c:v>4.5281420900000002</c:v>
                </c:pt>
                <c:pt idx="51">
                  <c:v>4.6153473800000002</c:v>
                </c:pt>
                <c:pt idx="52">
                  <c:v>3.0548869399999998</c:v>
                </c:pt>
                <c:pt idx="53">
                  <c:v>2.97516611</c:v>
                </c:pt>
                <c:pt idx="54">
                  <c:v>3.3701199499999999</c:v>
                </c:pt>
                <c:pt idx="55">
                  <c:v>3.0604857000000001</c:v>
                </c:pt>
                <c:pt idx="56">
                  <c:v>5.31532421</c:v>
                </c:pt>
                <c:pt idx="57">
                  <c:v>5.1725474499999997</c:v>
                </c:pt>
                <c:pt idx="58">
                  <c:v>5.3012032800000002</c:v>
                </c:pt>
                <c:pt idx="59">
                  <c:v>5.46667024</c:v>
                </c:pt>
                <c:pt idx="60">
                  <c:v>5.5082448099999999</c:v>
                </c:pt>
                <c:pt idx="61">
                  <c:v>5.7569524599999999</c:v>
                </c:pt>
                <c:pt idx="62">
                  <c:v>6.0867005599999997</c:v>
                </c:pt>
                <c:pt idx="63">
                  <c:v>5.6392844200000001</c:v>
                </c:pt>
                <c:pt idx="64">
                  <c:v>7.3588779799999999</c:v>
                </c:pt>
                <c:pt idx="65">
                  <c:v>7.6735257900000002</c:v>
                </c:pt>
                <c:pt idx="66">
                  <c:v>7.4148957700000002</c:v>
                </c:pt>
                <c:pt idx="67">
                  <c:v>7.5893311600000004</c:v>
                </c:pt>
                <c:pt idx="68">
                  <c:v>8.7201844800000003</c:v>
                </c:pt>
                <c:pt idx="69">
                  <c:v>8.6034039100000008</c:v>
                </c:pt>
                <c:pt idx="70">
                  <c:v>8.3628435400000001</c:v>
                </c:pt>
                <c:pt idx="71">
                  <c:v>8.1670261600000007</c:v>
                </c:pt>
                <c:pt idx="72">
                  <c:v>11.352007349999999</c:v>
                </c:pt>
                <c:pt idx="73">
                  <c:v>11.505771729999999</c:v>
                </c:pt>
                <c:pt idx="74">
                  <c:v>11.811270179999999</c:v>
                </c:pt>
                <c:pt idx="75">
                  <c:v>12.083522289999999</c:v>
                </c:pt>
                <c:pt idx="76">
                  <c:v>12.48176806</c:v>
                </c:pt>
                <c:pt idx="77">
                  <c:v>13.273984990000001</c:v>
                </c:pt>
                <c:pt idx="78">
                  <c:v>12.77758854</c:v>
                </c:pt>
                <c:pt idx="79">
                  <c:v>12.772838220000001</c:v>
                </c:pt>
                <c:pt idx="80">
                  <c:v>13.37547994</c:v>
                </c:pt>
                <c:pt idx="81">
                  <c:v>13.442771759999999</c:v>
                </c:pt>
                <c:pt idx="82">
                  <c:v>12.19501328</c:v>
                </c:pt>
                <c:pt idx="83">
                  <c:v>12.864942510000001</c:v>
                </c:pt>
                <c:pt idx="84">
                  <c:v>12.36298025</c:v>
                </c:pt>
                <c:pt idx="85">
                  <c:v>10.78946655</c:v>
                </c:pt>
                <c:pt idx="86">
                  <c:v>10.95657027</c:v>
                </c:pt>
                <c:pt idx="87">
                  <c:v>11.24783847</c:v>
                </c:pt>
                <c:pt idx="88">
                  <c:v>13.287893820000001</c:v>
                </c:pt>
                <c:pt idx="89">
                  <c:v>12.762543839999999</c:v>
                </c:pt>
                <c:pt idx="90">
                  <c:v>11.43789136</c:v>
                </c:pt>
                <c:pt idx="91">
                  <c:v>11.68460988</c:v>
                </c:pt>
                <c:pt idx="92">
                  <c:v>11.009006729999999</c:v>
                </c:pt>
                <c:pt idx="93">
                  <c:v>9.9827090999999992</c:v>
                </c:pt>
                <c:pt idx="94">
                  <c:v>9.9450539599999992</c:v>
                </c:pt>
                <c:pt idx="95">
                  <c:v>9.7919732600000007</c:v>
                </c:pt>
                <c:pt idx="96">
                  <c:v>9.9988600900000009</c:v>
                </c:pt>
                <c:pt idx="97">
                  <c:v>10.277907040000001</c:v>
                </c:pt>
                <c:pt idx="98">
                  <c:v>10.850702890000001</c:v>
                </c:pt>
                <c:pt idx="99">
                  <c:v>11.01757535</c:v>
                </c:pt>
                <c:pt idx="100">
                  <c:v>13.006900809999999</c:v>
                </c:pt>
                <c:pt idx="101">
                  <c:v>12.97774077</c:v>
                </c:pt>
                <c:pt idx="102">
                  <c:v>12.683421879999999</c:v>
                </c:pt>
                <c:pt idx="103">
                  <c:v>12.83990444</c:v>
                </c:pt>
                <c:pt idx="104">
                  <c:v>12.844060130000001</c:v>
                </c:pt>
                <c:pt idx="105">
                  <c:v>11.904247270000001</c:v>
                </c:pt>
                <c:pt idx="106">
                  <c:v>12.46445001</c:v>
                </c:pt>
                <c:pt idx="107">
                  <c:v>12.425886759999999</c:v>
                </c:pt>
                <c:pt idx="108">
                  <c:v>12.087547669999999</c:v>
                </c:pt>
                <c:pt idx="109">
                  <c:v>11.942166390000001</c:v>
                </c:pt>
                <c:pt idx="110">
                  <c:v>12.055804970000001</c:v>
                </c:pt>
                <c:pt idx="111">
                  <c:v>11.365747799999999</c:v>
                </c:pt>
                <c:pt idx="112">
                  <c:v>13.46198644</c:v>
                </c:pt>
                <c:pt idx="113">
                  <c:v>11.73647519</c:v>
                </c:pt>
                <c:pt idx="114">
                  <c:v>11.42598628</c:v>
                </c:pt>
                <c:pt idx="115">
                  <c:v>10.977891980000001</c:v>
                </c:pt>
                <c:pt idx="116">
                  <c:v>16.927262169999999</c:v>
                </c:pt>
                <c:pt idx="117">
                  <c:v>16.847632610000002</c:v>
                </c:pt>
                <c:pt idx="118">
                  <c:v>16.33318921</c:v>
                </c:pt>
                <c:pt idx="119">
                  <c:v>15.267988839999999</c:v>
                </c:pt>
                <c:pt idx="120">
                  <c:v>14.569269520000001</c:v>
                </c:pt>
                <c:pt idx="121">
                  <c:v>14.10365659</c:v>
                </c:pt>
                <c:pt idx="122">
                  <c:v>14.16502835</c:v>
                </c:pt>
                <c:pt idx="123">
                  <c:v>13.392902210000001</c:v>
                </c:pt>
                <c:pt idx="124">
                  <c:v>13.466110520000001</c:v>
                </c:pt>
                <c:pt idx="125">
                  <c:v>14.114103549999999</c:v>
                </c:pt>
                <c:pt idx="126">
                  <c:v>14.572893150000001</c:v>
                </c:pt>
                <c:pt idx="127">
                  <c:v>13.83035896</c:v>
                </c:pt>
                <c:pt idx="128">
                  <c:v>15.477491799999999</c:v>
                </c:pt>
                <c:pt idx="129">
                  <c:v>14.65189208</c:v>
                </c:pt>
                <c:pt idx="130">
                  <c:v>14.853660530000001</c:v>
                </c:pt>
                <c:pt idx="131">
                  <c:v>14.54502812</c:v>
                </c:pt>
                <c:pt idx="132">
                  <c:v>14.58086372</c:v>
                </c:pt>
                <c:pt idx="133">
                  <c:v>14.132353950000001</c:v>
                </c:pt>
                <c:pt idx="134">
                  <c:v>13.69477019</c:v>
                </c:pt>
                <c:pt idx="135">
                  <c:v>13.561255149999999</c:v>
                </c:pt>
                <c:pt idx="136">
                  <c:v>14.38001236</c:v>
                </c:pt>
                <c:pt idx="137">
                  <c:v>13.89005777</c:v>
                </c:pt>
                <c:pt idx="138">
                  <c:v>14.07782227</c:v>
                </c:pt>
                <c:pt idx="139">
                  <c:v>14.15017263</c:v>
                </c:pt>
                <c:pt idx="140">
                  <c:v>13.514962629999999</c:v>
                </c:pt>
                <c:pt idx="141">
                  <c:v>13.67490364</c:v>
                </c:pt>
                <c:pt idx="142">
                  <c:v>14.22503495</c:v>
                </c:pt>
                <c:pt idx="143">
                  <c:v>14.0349577</c:v>
                </c:pt>
                <c:pt idx="144">
                  <c:v>13.19169787</c:v>
                </c:pt>
                <c:pt idx="145">
                  <c:v>13.04120316</c:v>
                </c:pt>
                <c:pt idx="146">
                  <c:v>13.333774630000001</c:v>
                </c:pt>
                <c:pt idx="147">
                  <c:v>13.01093313</c:v>
                </c:pt>
                <c:pt idx="148">
                  <c:v>12.03459795</c:v>
                </c:pt>
                <c:pt idx="149">
                  <c:v>11.34834946</c:v>
                </c:pt>
                <c:pt idx="150">
                  <c:v>12.76617652</c:v>
                </c:pt>
                <c:pt idx="151">
                  <c:v>12.46057998</c:v>
                </c:pt>
                <c:pt idx="152">
                  <c:v>15.51279864</c:v>
                </c:pt>
                <c:pt idx="153">
                  <c:v>14.94622002</c:v>
                </c:pt>
                <c:pt idx="154">
                  <c:v>15.14551973</c:v>
                </c:pt>
                <c:pt idx="155">
                  <c:v>14.412213769999999</c:v>
                </c:pt>
                <c:pt idx="156">
                  <c:v>14.134016089999999</c:v>
                </c:pt>
                <c:pt idx="157">
                  <c:v>14.161095209999999</c:v>
                </c:pt>
                <c:pt idx="158">
                  <c:v>14.47377337</c:v>
                </c:pt>
                <c:pt idx="159">
                  <c:v>14.62136385</c:v>
                </c:pt>
                <c:pt idx="160">
                  <c:v>15.44850881</c:v>
                </c:pt>
                <c:pt idx="161">
                  <c:v>16.192973640000002</c:v>
                </c:pt>
                <c:pt idx="162">
                  <c:v>16.148974970000001</c:v>
                </c:pt>
                <c:pt idx="163">
                  <c:v>15.791396280000001</c:v>
                </c:pt>
                <c:pt idx="164">
                  <c:v>15.60625963</c:v>
                </c:pt>
                <c:pt idx="165">
                  <c:v>15.564536929999999</c:v>
                </c:pt>
                <c:pt idx="166">
                  <c:v>16.188445990000002</c:v>
                </c:pt>
                <c:pt idx="167">
                  <c:v>16.241025539999999</c:v>
                </c:pt>
                <c:pt idx="168">
                  <c:v>18.854956210000001</c:v>
                </c:pt>
                <c:pt idx="169">
                  <c:v>19.731840600000002</c:v>
                </c:pt>
                <c:pt idx="170">
                  <c:v>20.353263949999999</c:v>
                </c:pt>
                <c:pt idx="171">
                  <c:v>20.807908640000001</c:v>
                </c:pt>
                <c:pt idx="172">
                  <c:v>21.726375749999999</c:v>
                </c:pt>
                <c:pt idx="173">
                  <c:v>22.338770360000002</c:v>
                </c:pt>
                <c:pt idx="174">
                  <c:v>23.06227286</c:v>
                </c:pt>
                <c:pt idx="175">
                  <c:v>23.338423580000001</c:v>
                </c:pt>
                <c:pt idx="176">
                  <c:v>21.8851561</c:v>
                </c:pt>
                <c:pt idx="177">
                  <c:v>22.266757500000001</c:v>
                </c:pt>
                <c:pt idx="178">
                  <c:v>22.655154589999999</c:v>
                </c:pt>
                <c:pt idx="179">
                  <c:v>22.936507120000002</c:v>
                </c:pt>
                <c:pt idx="180">
                  <c:v>21.93378646</c:v>
                </c:pt>
                <c:pt idx="181">
                  <c:v>21.309071419999999</c:v>
                </c:pt>
                <c:pt idx="182">
                  <c:v>20.939751950000002</c:v>
                </c:pt>
                <c:pt idx="183">
                  <c:v>22.38461612</c:v>
                </c:pt>
                <c:pt idx="184">
                  <c:v>22.76672099</c:v>
                </c:pt>
                <c:pt idx="185">
                  <c:v>23.048916340000002</c:v>
                </c:pt>
                <c:pt idx="186">
                  <c:v>22.681726189999999</c:v>
                </c:pt>
                <c:pt idx="187">
                  <c:v>22.245371989999999</c:v>
                </c:pt>
                <c:pt idx="188">
                  <c:v>18.904163539999999</c:v>
                </c:pt>
                <c:pt idx="189">
                  <c:v>20.512400970000002</c:v>
                </c:pt>
                <c:pt idx="190">
                  <c:v>20.444888450000001</c:v>
                </c:pt>
                <c:pt idx="191">
                  <c:v>20.045436710000001</c:v>
                </c:pt>
                <c:pt idx="192">
                  <c:v>18.967020179999999</c:v>
                </c:pt>
                <c:pt idx="193">
                  <c:v>17.46784547</c:v>
                </c:pt>
                <c:pt idx="194">
                  <c:v>17.632597530000002</c:v>
                </c:pt>
                <c:pt idx="195">
                  <c:v>17.853740559999999</c:v>
                </c:pt>
                <c:pt idx="196">
                  <c:v>19.639717269999998</c:v>
                </c:pt>
                <c:pt idx="197">
                  <c:v>19.02450335</c:v>
                </c:pt>
                <c:pt idx="198">
                  <c:v>17.737049769999999</c:v>
                </c:pt>
                <c:pt idx="199">
                  <c:v>17.543528729999998</c:v>
                </c:pt>
                <c:pt idx="200">
                  <c:v>12.49883945</c:v>
                </c:pt>
                <c:pt idx="201">
                  <c:v>13.34180276</c:v>
                </c:pt>
                <c:pt idx="202">
                  <c:v>13.585991910000001</c:v>
                </c:pt>
                <c:pt idx="203">
                  <c:v>13.79754232</c:v>
                </c:pt>
                <c:pt idx="204">
                  <c:v>13.50693613</c:v>
                </c:pt>
                <c:pt idx="205">
                  <c:v>13.453903710000001</c:v>
                </c:pt>
                <c:pt idx="206">
                  <c:v>13.682638969999999</c:v>
                </c:pt>
                <c:pt idx="207">
                  <c:v>14.11200994</c:v>
                </c:pt>
                <c:pt idx="208">
                  <c:v>16.358440949999999</c:v>
                </c:pt>
                <c:pt idx="209">
                  <c:v>16.70114611</c:v>
                </c:pt>
                <c:pt idx="210">
                  <c:v>16.790437860000001</c:v>
                </c:pt>
                <c:pt idx="211">
                  <c:v>16.792181889999998</c:v>
                </c:pt>
                <c:pt idx="212">
                  <c:v>24.750354730000002</c:v>
                </c:pt>
                <c:pt idx="213">
                  <c:v>22.165527010000002</c:v>
                </c:pt>
                <c:pt idx="214">
                  <c:v>21.8661578</c:v>
                </c:pt>
                <c:pt idx="215">
                  <c:v>21.174622280000001</c:v>
                </c:pt>
                <c:pt idx="216">
                  <c:v>18.947006999999999</c:v>
                </c:pt>
                <c:pt idx="217">
                  <c:v>17.806718190000002</c:v>
                </c:pt>
                <c:pt idx="218">
                  <c:v>17.051756690000001</c:v>
                </c:pt>
                <c:pt idx="219">
                  <c:v>15.54400321</c:v>
                </c:pt>
                <c:pt idx="220">
                  <c:v>19.28247099</c:v>
                </c:pt>
                <c:pt idx="221">
                  <c:v>18.357091019999999</c:v>
                </c:pt>
                <c:pt idx="222">
                  <c:v>18.971385890000001</c:v>
                </c:pt>
                <c:pt idx="223">
                  <c:v>18.021484139999998</c:v>
                </c:pt>
                <c:pt idx="224">
                  <c:v>16.363637279999999</c:v>
                </c:pt>
                <c:pt idx="225">
                  <c:v>15.61951694</c:v>
                </c:pt>
                <c:pt idx="226">
                  <c:v>16.133129490000002</c:v>
                </c:pt>
                <c:pt idx="227">
                  <c:v>15.53864392</c:v>
                </c:pt>
                <c:pt idx="228">
                  <c:v>13.67023152</c:v>
                </c:pt>
                <c:pt idx="229">
                  <c:v>13.15459611</c:v>
                </c:pt>
                <c:pt idx="230">
                  <c:v>12.742086499999999</c:v>
                </c:pt>
                <c:pt idx="231">
                  <c:v>12.631395680000001</c:v>
                </c:pt>
                <c:pt idx="232">
                  <c:v>9.8696529799999997</c:v>
                </c:pt>
                <c:pt idx="233">
                  <c:v>10.096934279999999</c:v>
                </c:pt>
                <c:pt idx="234">
                  <c:v>9.7822917900000004</c:v>
                </c:pt>
                <c:pt idx="235">
                  <c:v>9.7695431799999994</c:v>
                </c:pt>
                <c:pt idx="236">
                  <c:v>7.58259214</c:v>
                </c:pt>
                <c:pt idx="237">
                  <c:v>7.5321986000000001</c:v>
                </c:pt>
                <c:pt idx="238">
                  <c:v>7.1393231500000001</c:v>
                </c:pt>
                <c:pt idx="239">
                  <c:v>7.1440636199999998</c:v>
                </c:pt>
                <c:pt idx="240">
                  <c:v>6.8005552700000003</c:v>
                </c:pt>
                <c:pt idx="241">
                  <c:v>7.1191604799999997</c:v>
                </c:pt>
                <c:pt idx="242">
                  <c:v>6.3991069899999999</c:v>
                </c:pt>
                <c:pt idx="243">
                  <c:v>6.2668894999999996</c:v>
                </c:pt>
                <c:pt idx="244">
                  <c:v>6.7270866299999996</c:v>
                </c:pt>
                <c:pt idx="245">
                  <c:v>6.8007828200000002</c:v>
                </c:pt>
                <c:pt idx="246">
                  <c:v>6.1673508899999998</c:v>
                </c:pt>
                <c:pt idx="247">
                  <c:v>5.4059168399999997</c:v>
                </c:pt>
                <c:pt idx="248">
                  <c:v>7.8203998500000003</c:v>
                </c:pt>
                <c:pt idx="249">
                  <c:v>7.7004078800000002</c:v>
                </c:pt>
                <c:pt idx="250">
                  <c:v>7.4742424700000001</c:v>
                </c:pt>
                <c:pt idx="251">
                  <c:v>7.2924136600000002</c:v>
                </c:pt>
                <c:pt idx="252">
                  <c:v>9.1727930200000003</c:v>
                </c:pt>
                <c:pt idx="253">
                  <c:v>9.0981553000000002</c:v>
                </c:pt>
                <c:pt idx="254">
                  <c:v>9.6380485999999994</c:v>
                </c:pt>
                <c:pt idx="255">
                  <c:v>9.6305461399999999</c:v>
                </c:pt>
                <c:pt idx="256">
                  <c:v>11.720631859999999</c:v>
                </c:pt>
                <c:pt idx="257">
                  <c:v>11.92603634</c:v>
                </c:pt>
                <c:pt idx="258">
                  <c:v>12.41666777</c:v>
                </c:pt>
                <c:pt idx="259">
                  <c:v>11.76530619</c:v>
                </c:pt>
                <c:pt idx="260">
                  <c:v>13.66992304</c:v>
                </c:pt>
                <c:pt idx="261">
                  <c:v>13.48118206</c:v>
                </c:pt>
                <c:pt idx="262">
                  <c:v>13.526799670000001</c:v>
                </c:pt>
                <c:pt idx="263">
                  <c:v>13.63570114</c:v>
                </c:pt>
                <c:pt idx="264">
                  <c:v>16.897292650000001</c:v>
                </c:pt>
                <c:pt idx="265">
                  <c:v>19.799010460000002</c:v>
                </c:pt>
                <c:pt idx="266">
                  <c:v>20.19689069</c:v>
                </c:pt>
                <c:pt idx="267">
                  <c:v>20.76466057</c:v>
                </c:pt>
                <c:pt idx="268">
                  <c:v>16.160816409999999</c:v>
                </c:pt>
                <c:pt idx="269">
                  <c:v>16.55480566</c:v>
                </c:pt>
                <c:pt idx="270">
                  <c:v>16.100420159999999</c:v>
                </c:pt>
                <c:pt idx="271">
                  <c:v>15.771346810000001</c:v>
                </c:pt>
                <c:pt idx="272">
                  <c:v>12.670004840000001</c:v>
                </c:pt>
                <c:pt idx="273">
                  <c:v>12.90075637</c:v>
                </c:pt>
                <c:pt idx="274">
                  <c:v>12.59970873</c:v>
                </c:pt>
                <c:pt idx="275">
                  <c:v>13.203060320000001</c:v>
                </c:pt>
                <c:pt idx="276">
                  <c:v>12.096044989999999</c:v>
                </c:pt>
                <c:pt idx="277">
                  <c:v>11.48628935</c:v>
                </c:pt>
                <c:pt idx="278">
                  <c:v>12.10120364</c:v>
                </c:pt>
                <c:pt idx="279">
                  <c:v>12.38029137</c:v>
                </c:pt>
                <c:pt idx="280">
                  <c:v>12.269438190000001</c:v>
                </c:pt>
                <c:pt idx="281">
                  <c:v>12.95835617</c:v>
                </c:pt>
                <c:pt idx="282">
                  <c:v>12.00940597</c:v>
                </c:pt>
                <c:pt idx="283">
                  <c:v>13.33098833</c:v>
                </c:pt>
                <c:pt idx="284">
                  <c:v>7.4231249000000004</c:v>
                </c:pt>
                <c:pt idx="285">
                  <c:v>7.5910714700000002</c:v>
                </c:pt>
                <c:pt idx="286">
                  <c:v>7.6352998899999998</c:v>
                </c:pt>
                <c:pt idx="287">
                  <c:v>8.5204141900000003</c:v>
                </c:pt>
                <c:pt idx="288">
                  <c:v>17.981716680000002</c:v>
                </c:pt>
                <c:pt idx="289">
                  <c:v>18.364637800000001</c:v>
                </c:pt>
                <c:pt idx="290">
                  <c:v>18.28370215</c:v>
                </c:pt>
                <c:pt idx="291">
                  <c:v>18.699451079999999</c:v>
                </c:pt>
                <c:pt idx="292">
                  <c:v>11.964728360000001</c:v>
                </c:pt>
                <c:pt idx="293">
                  <c:v>11.742085660000001</c:v>
                </c:pt>
                <c:pt idx="294">
                  <c:v>12.37275582</c:v>
                </c:pt>
                <c:pt idx="295">
                  <c:v>13.35756054</c:v>
                </c:pt>
                <c:pt idx="296">
                  <c:v>13.210983329999999</c:v>
                </c:pt>
                <c:pt idx="297">
                  <c:v>13.303520410000001</c:v>
                </c:pt>
                <c:pt idx="298">
                  <c:v>13.599372239999999</c:v>
                </c:pt>
                <c:pt idx="299">
                  <c:v>13.11681739</c:v>
                </c:pt>
                <c:pt idx="300">
                  <c:v>13.25606797</c:v>
                </c:pt>
                <c:pt idx="301">
                  <c:v>13.289964039999999</c:v>
                </c:pt>
                <c:pt idx="302">
                  <c:v>13.196819270000001</c:v>
                </c:pt>
                <c:pt idx="303">
                  <c:v>13.063180709999999</c:v>
                </c:pt>
                <c:pt idx="304">
                  <c:v>13.146936869999999</c:v>
                </c:pt>
                <c:pt idx="305">
                  <c:v>13.12853655</c:v>
                </c:pt>
                <c:pt idx="306">
                  <c:v>12.87541049</c:v>
                </c:pt>
                <c:pt idx="307">
                  <c:v>13.10117007</c:v>
                </c:pt>
                <c:pt idx="308">
                  <c:v>12.82365332</c:v>
                </c:pt>
                <c:pt idx="309">
                  <c:v>12.18873793</c:v>
                </c:pt>
                <c:pt idx="310">
                  <c:v>12.89344927</c:v>
                </c:pt>
                <c:pt idx="311">
                  <c:v>11.940363380000001</c:v>
                </c:pt>
                <c:pt idx="312">
                  <c:v>14.57986897</c:v>
                </c:pt>
                <c:pt idx="313">
                  <c:v>14.85055803</c:v>
                </c:pt>
                <c:pt idx="314">
                  <c:v>14.277649200000001</c:v>
                </c:pt>
                <c:pt idx="315">
                  <c:v>13.863119040000001</c:v>
                </c:pt>
                <c:pt idx="316">
                  <c:v>14.663628810000001</c:v>
                </c:pt>
                <c:pt idx="317">
                  <c:v>14.60044233</c:v>
                </c:pt>
                <c:pt idx="318">
                  <c:v>14.37185708</c:v>
                </c:pt>
                <c:pt idx="319">
                  <c:v>14.30138852</c:v>
                </c:pt>
                <c:pt idx="320">
                  <c:v>12.15100657</c:v>
                </c:pt>
                <c:pt idx="321">
                  <c:v>11.744281279999999</c:v>
                </c:pt>
                <c:pt idx="322">
                  <c:v>11.733143500000001</c:v>
                </c:pt>
                <c:pt idx="323">
                  <c:v>11.20339248</c:v>
                </c:pt>
                <c:pt idx="324">
                  <c:v>9.0763327399999998</c:v>
                </c:pt>
                <c:pt idx="325">
                  <c:v>9.0560416200000002</c:v>
                </c:pt>
                <c:pt idx="326">
                  <c:v>8.8103497100000006</c:v>
                </c:pt>
                <c:pt idx="327">
                  <c:v>8.7997802600000004</c:v>
                </c:pt>
                <c:pt idx="328">
                  <c:v>6.9141262000000001</c:v>
                </c:pt>
                <c:pt idx="329">
                  <c:v>6.7814562599999997</c:v>
                </c:pt>
                <c:pt idx="330">
                  <c:v>6.6773740000000004</c:v>
                </c:pt>
                <c:pt idx="331">
                  <c:v>6.6624572300000002</c:v>
                </c:pt>
                <c:pt idx="332">
                  <c:v>6.45935112</c:v>
                </c:pt>
                <c:pt idx="333">
                  <c:v>5.8082368400000002</c:v>
                </c:pt>
                <c:pt idx="334">
                  <c:v>6.1151692200000003</c:v>
                </c:pt>
                <c:pt idx="335">
                  <c:v>6.4012229899999999</c:v>
                </c:pt>
                <c:pt idx="336">
                  <c:v>6.8170286500000001</c:v>
                </c:pt>
                <c:pt idx="337">
                  <c:v>7.1656064700000002</c:v>
                </c:pt>
                <c:pt idx="338">
                  <c:v>7.5477401200000003</c:v>
                </c:pt>
                <c:pt idx="339">
                  <c:v>7.7128044899999999</c:v>
                </c:pt>
                <c:pt idx="340">
                  <c:v>6.8116634999999999</c:v>
                </c:pt>
                <c:pt idx="341">
                  <c:v>6.5247884699999998</c:v>
                </c:pt>
                <c:pt idx="342">
                  <c:v>7.2062612799999997</c:v>
                </c:pt>
                <c:pt idx="343">
                  <c:v>6.9965180199999999</c:v>
                </c:pt>
                <c:pt idx="344">
                  <c:v>7.5405166100000001</c:v>
                </c:pt>
                <c:pt idx="345">
                  <c:v>7.2996618800000004</c:v>
                </c:pt>
                <c:pt idx="346">
                  <c:v>7.00226171</c:v>
                </c:pt>
                <c:pt idx="347">
                  <c:v>7.0804288399999997</c:v>
                </c:pt>
                <c:pt idx="348">
                  <c:v>8.9679817600000007</c:v>
                </c:pt>
                <c:pt idx="349">
                  <c:v>9.0774188299999992</c:v>
                </c:pt>
                <c:pt idx="350">
                  <c:v>9.1429521299999994</c:v>
                </c:pt>
                <c:pt idx="351">
                  <c:v>9.3853466300000008</c:v>
                </c:pt>
                <c:pt idx="352">
                  <c:v>11.894437269999999</c:v>
                </c:pt>
                <c:pt idx="353">
                  <c:v>11.30960883</c:v>
                </c:pt>
                <c:pt idx="354">
                  <c:v>11.50311252</c:v>
                </c:pt>
                <c:pt idx="355">
                  <c:v>10.71207497</c:v>
                </c:pt>
                <c:pt idx="356">
                  <c:v>11.785917899999999</c:v>
                </c:pt>
                <c:pt idx="357">
                  <c:v>12.16665963</c:v>
                </c:pt>
                <c:pt idx="358">
                  <c:v>12.369875970000001</c:v>
                </c:pt>
                <c:pt idx="359">
                  <c:v>11.90708996</c:v>
                </c:pt>
                <c:pt idx="360">
                  <c:v>13.70372498</c:v>
                </c:pt>
                <c:pt idx="361">
                  <c:v>13.740273849999999</c:v>
                </c:pt>
                <c:pt idx="362">
                  <c:v>14.27552141</c:v>
                </c:pt>
                <c:pt idx="363">
                  <c:v>14.196805400000001</c:v>
                </c:pt>
                <c:pt idx="364">
                  <c:v>14.58776705</c:v>
                </c:pt>
                <c:pt idx="365">
                  <c:v>15.28371637</c:v>
                </c:pt>
                <c:pt idx="366">
                  <c:v>14.9529487</c:v>
                </c:pt>
                <c:pt idx="367">
                  <c:v>14.985502329999999</c:v>
                </c:pt>
                <c:pt idx="368">
                  <c:v>13.740911150000001</c:v>
                </c:pt>
                <c:pt idx="369">
                  <c:v>13.919753529999999</c:v>
                </c:pt>
                <c:pt idx="370">
                  <c:v>13.32124672</c:v>
                </c:pt>
                <c:pt idx="371">
                  <c:v>13.38094937</c:v>
                </c:pt>
                <c:pt idx="372">
                  <c:v>18.160780599999999</c:v>
                </c:pt>
                <c:pt idx="373">
                  <c:v>15.78812492</c:v>
                </c:pt>
                <c:pt idx="374">
                  <c:v>12.04749151</c:v>
                </c:pt>
                <c:pt idx="375">
                  <c:v>12.360182500000001</c:v>
                </c:pt>
                <c:pt idx="376">
                  <c:v>15.323388380000001</c:v>
                </c:pt>
                <c:pt idx="377">
                  <c:v>16.02725963</c:v>
                </c:pt>
                <c:pt idx="378">
                  <c:v>15.49269103</c:v>
                </c:pt>
                <c:pt idx="379">
                  <c:v>16.259196970000001</c:v>
                </c:pt>
                <c:pt idx="380">
                  <c:v>15.6899482</c:v>
                </c:pt>
                <c:pt idx="381">
                  <c:v>16.114056919999999</c:v>
                </c:pt>
                <c:pt idx="382">
                  <c:v>16.936137649999999</c:v>
                </c:pt>
                <c:pt idx="383">
                  <c:v>14.850442320000001</c:v>
                </c:pt>
                <c:pt idx="384">
                  <c:v>7.6135126900000003</c:v>
                </c:pt>
                <c:pt idx="385">
                  <c:v>8.5316495499999991</c:v>
                </c:pt>
                <c:pt idx="386">
                  <c:v>8.8999112300000007</c:v>
                </c:pt>
                <c:pt idx="387">
                  <c:v>7.9715626899999998</c:v>
                </c:pt>
                <c:pt idx="388">
                  <c:v>10.06297945</c:v>
                </c:pt>
                <c:pt idx="389">
                  <c:v>10.09110308</c:v>
                </c:pt>
                <c:pt idx="390">
                  <c:v>9.6318659400000008</c:v>
                </c:pt>
                <c:pt idx="391">
                  <c:v>9.7385368200000002</c:v>
                </c:pt>
                <c:pt idx="392">
                  <c:v>9.5791408899999997</c:v>
                </c:pt>
                <c:pt idx="393">
                  <c:v>10.056841670000001</c:v>
                </c:pt>
                <c:pt idx="394">
                  <c:v>10.221290850000001</c:v>
                </c:pt>
                <c:pt idx="395">
                  <c:v>10.23604078</c:v>
                </c:pt>
                <c:pt idx="396">
                  <c:v>10.559219909999999</c:v>
                </c:pt>
                <c:pt idx="397">
                  <c:v>10.40187287</c:v>
                </c:pt>
                <c:pt idx="398">
                  <c:v>10.49664641</c:v>
                </c:pt>
                <c:pt idx="399">
                  <c:v>10.319641349999999</c:v>
                </c:pt>
                <c:pt idx="400">
                  <c:v>10.3661432</c:v>
                </c:pt>
                <c:pt idx="401">
                  <c:v>10.462995530000001</c:v>
                </c:pt>
                <c:pt idx="402">
                  <c:v>11.52264491</c:v>
                </c:pt>
                <c:pt idx="403">
                  <c:v>14.36423244</c:v>
                </c:pt>
                <c:pt idx="404">
                  <c:v>12.43663987</c:v>
                </c:pt>
                <c:pt idx="405">
                  <c:v>12.375332139999999</c:v>
                </c:pt>
                <c:pt idx="406">
                  <c:v>11.63044092</c:v>
                </c:pt>
                <c:pt idx="407">
                  <c:v>11.77528476</c:v>
                </c:pt>
                <c:pt idx="408">
                  <c:v>15.8399907</c:v>
                </c:pt>
                <c:pt idx="409">
                  <c:v>15.29608947</c:v>
                </c:pt>
                <c:pt idx="410">
                  <c:v>14.79848144</c:v>
                </c:pt>
                <c:pt idx="411">
                  <c:v>14.294737720000001</c:v>
                </c:pt>
                <c:pt idx="412">
                  <c:v>14.014167499999999</c:v>
                </c:pt>
                <c:pt idx="413">
                  <c:v>19.081067740000002</c:v>
                </c:pt>
                <c:pt idx="414">
                  <c:v>13.46756948</c:v>
                </c:pt>
                <c:pt idx="415">
                  <c:v>11.17487841</c:v>
                </c:pt>
                <c:pt idx="416">
                  <c:v>10.365299520000001</c:v>
                </c:pt>
                <c:pt idx="417">
                  <c:v>10.0065651</c:v>
                </c:pt>
                <c:pt idx="418">
                  <c:v>9.5212770399999993</c:v>
                </c:pt>
                <c:pt idx="419">
                  <c:v>9.8534583500000004</c:v>
                </c:pt>
                <c:pt idx="420">
                  <c:v>8.4177570900000003</c:v>
                </c:pt>
                <c:pt idx="421">
                  <c:v>7.9758747100000003</c:v>
                </c:pt>
                <c:pt idx="422">
                  <c:v>8.3048922300000001</c:v>
                </c:pt>
                <c:pt idx="423">
                  <c:v>7.8716760299999997</c:v>
                </c:pt>
                <c:pt idx="424">
                  <c:v>7.8424890400000002</c:v>
                </c:pt>
                <c:pt idx="425">
                  <c:v>7.4046465499999998</c:v>
                </c:pt>
                <c:pt idx="426">
                  <c:v>7.6164095300000003</c:v>
                </c:pt>
                <c:pt idx="427">
                  <c:v>7.0874783099999998</c:v>
                </c:pt>
                <c:pt idx="428">
                  <c:v>7.36642565</c:v>
                </c:pt>
                <c:pt idx="429">
                  <c:v>7.2932809599999997</c:v>
                </c:pt>
                <c:pt idx="430">
                  <c:v>6.7566270700000004</c:v>
                </c:pt>
                <c:pt idx="431">
                  <c:v>6.64115521</c:v>
                </c:pt>
                <c:pt idx="432">
                  <c:v>7.6278256799999999</c:v>
                </c:pt>
                <c:pt idx="433">
                  <c:v>7.6156086700000003</c:v>
                </c:pt>
                <c:pt idx="434">
                  <c:v>7.7711012799999999</c:v>
                </c:pt>
                <c:pt idx="435">
                  <c:v>7.7338202999999996</c:v>
                </c:pt>
                <c:pt idx="436">
                  <c:v>7.7441035999999999</c:v>
                </c:pt>
                <c:pt idx="437">
                  <c:v>7.6819267099999999</c:v>
                </c:pt>
                <c:pt idx="438">
                  <c:v>7.9050297900000004</c:v>
                </c:pt>
                <c:pt idx="439">
                  <c:v>7.2837420100000001</c:v>
                </c:pt>
                <c:pt idx="440">
                  <c:v>9.1728316499999991</c:v>
                </c:pt>
                <c:pt idx="441">
                  <c:v>8.3440152800000007</c:v>
                </c:pt>
                <c:pt idx="442">
                  <c:v>8.48539259</c:v>
                </c:pt>
                <c:pt idx="443">
                  <c:v>8.2724562299999995</c:v>
                </c:pt>
                <c:pt idx="444">
                  <c:v>8.0428680900000007</c:v>
                </c:pt>
                <c:pt idx="445">
                  <c:v>7.9970054099999999</c:v>
                </c:pt>
                <c:pt idx="446">
                  <c:v>8.4105502899999998</c:v>
                </c:pt>
                <c:pt idx="447">
                  <c:v>8.3763295299999996</c:v>
                </c:pt>
                <c:pt idx="448">
                  <c:v>8.6907883899999998</c:v>
                </c:pt>
                <c:pt idx="449">
                  <c:v>8.6447149700000008</c:v>
                </c:pt>
                <c:pt idx="450">
                  <c:v>8.8696733499999993</c:v>
                </c:pt>
                <c:pt idx="451">
                  <c:v>9.1348406200000003</c:v>
                </c:pt>
                <c:pt idx="452">
                  <c:v>9.78277909</c:v>
                </c:pt>
                <c:pt idx="453">
                  <c:v>10.3884431</c:v>
                </c:pt>
                <c:pt idx="454">
                  <c:v>10.23538368</c:v>
                </c:pt>
                <c:pt idx="455">
                  <c:v>9.9268252799999992</c:v>
                </c:pt>
                <c:pt idx="456">
                  <c:v>12.340620960000001</c:v>
                </c:pt>
                <c:pt idx="457">
                  <c:v>12.825350029999999</c:v>
                </c:pt>
                <c:pt idx="458">
                  <c:v>13.203218420000001</c:v>
                </c:pt>
                <c:pt idx="459">
                  <c:v>13.00872991</c:v>
                </c:pt>
                <c:pt idx="460">
                  <c:v>12.333105379999999</c:v>
                </c:pt>
                <c:pt idx="461">
                  <c:v>13.61573701</c:v>
                </c:pt>
                <c:pt idx="462">
                  <c:v>13.062980769999999</c:v>
                </c:pt>
                <c:pt idx="463">
                  <c:v>13.326844149999999</c:v>
                </c:pt>
                <c:pt idx="464">
                  <c:v>11.76022139</c:v>
                </c:pt>
                <c:pt idx="465">
                  <c:v>12.479896979999999</c:v>
                </c:pt>
                <c:pt idx="466">
                  <c:v>11.853316169999999</c:v>
                </c:pt>
                <c:pt idx="467">
                  <c:v>11.710552939999999</c:v>
                </c:pt>
                <c:pt idx="468">
                  <c:v>9.7935003399999996</c:v>
                </c:pt>
                <c:pt idx="469">
                  <c:v>10.415500740000001</c:v>
                </c:pt>
                <c:pt idx="470">
                  <c:v>10.127847450000001</c:v>
                </c:pt>
                <c:pt idx="471">
                  <c:v>10.39556999</c:v>
                </c:pt>
                <c:pt idx="472">
                  <c:v>9.6062412100000003</c:v>
                </c:pt>
                <c:pt idx="473">
                  <c:v>10.0425585</c:v>
                </c:pt>
                <c:pt idx="474">
                  <c:v>9.6291112200000004</c:v>
                </c:pt>
                <c:pt idx="475">
                  <c:v>9.9985908099999996</c:v>
                </c:pt>
                <c:pt idx="476">
                  <c:v>9.7097994599999993</c:v>
                </c:pt>
                <c:pt idx="477">
                  <c:v>9.3446810800000009</c:v>
                </c:pt>
                <c:pt idx="478">
                  <c:v>9.0141545599999997</c:v>
                </c:pt>
                <c:pt idx="479">
                  <c:v>9.2555247999999999</c:v>
                </c:pt>
                <c:pt idx="480">
                  <c:v>10.147316010000001</c:v>
                </c:pt>
                <c:pt idx="481">
                  <c:v>10.232256420000001</c:v>
                </c:pt>
                <c:pt idx="482">
                  <c:v>9.3722399099999993</c:v>
                </c:pt>
                <c:pt idx="483">
                  <c:v>9.9074281000000006</c:v>
                </c:pt>
                <c:pt idx="484">
                  <c:v>9.6275932199999996</c:v>
                </c:pt>
                <c:pt idx="485">
                  <c:v>9.5540493299999998</c:v>
                </c:pt>
                <c:pt idx="486">
                  <c:v>9.7766317600000008</c:v>
                </c:pt>
                <c:pt idx="487">
                  <c:v>9.8161495700000003</c:v>
                </c:pt>
                <c:pt idx="488">
                  <c:v>7.4040407899999998</c:v>
                </c:pt>
                <c:pt idx="489">
                  <c:v>7.2995807700000004</c:v>
                </c:pt>
                <c:pt idx="490">
                  <c:v>7.3597372200000004</c:v>
                </c:pt>
                <c:pt idx="491">
                  <c:v>7.3663524300000001</c:v>
                </c:pt>
                <c:pt idx="492">
                  <c:v>6.7006223699999996</c:v>
                </c:pt>
                <c:pt idx="493">
                  <c:v>6.5871546900000002</c:v>
                </c:pt>
                <c:pt idx="494">
                  <c:v>6.4514516799999999</c:v>
                </c:pt>
                <c:pt idx="495">
                  <c:v>6.4251376499999999</c:v>
                </c:pt>
                <c:pt idx="496">
                  <c:v>6.4594732800000001</c:v>
                </c:pt>
                <c:pt idx="497">
                  <c:v>6.4419645299999999</c:v>
                </c:pt>
                <c:pt idx="498">
                  <c:v>6.5905294300000001</c:v>
                </c:pt>
                <c:pt idx="499">
                  <c:v>6.48052574</c:v>
                </c:pt>
                <c:pt idx="500">
                  <c:v>6.6498983599999999</c:v>
                </c:pt>
                <c:pt idx="501">
                  <c:v>6.7418466199999996</c:v>
                </c:pt>
                <c:pt idx="502">
                  <c:v>6.8554090499999996</c:v>
                </c:pt>
                <c:pt idx="503">
                  <c:v>6.5074996399999998</c:v>
                </c:pt>
                <c:pt idx="504">
                  <c:v>6.7875252899999996</c:v>
                </c:pt>
                <c:pt idx="505">
                  <c:v>6.4464129899999998</c:v>
                </c:pt>
                <c:pt idx="506">
                  <c:v>6.3728429899999997</c:v>
                </c:pt>
                <c:pt idx="507">
                  <c:v>6.4438226700000003</c:v>
                </c:pt>
                <c:pt idx="508">
                  <c:v>6.2351126299999997</c:v>
                </c:pt>
                <c:pt idx="509">
                  <c:v>6.0590588199999997</c:v>
                </c:pt>
                <c:pt idx="510">
                  <c:v>5.8900909400000003</c:v>
                </c:pt>
                <c:pt idx="511">
                  <c:v>5.99896764</c:v>
                </c:pt>
                <c:pt idx="512">
                  <c:v>6.7962253300000004</c:v>
                </c:pt>
                <c:pt idx="513">
                  <c:v>6.7758186399999998</c:v>
                </c:pt>
                <c:pt idx="514">
                  <c:v>6.6376992699999997</c:v>
                </c:pt>
                <c:pt idx="515">
                  <c:v>6.7917443899999999</c:v>
                </c:pt>
                <c:pt idx="516">
                  <c:v>7.2410516200000004</c:v>
                </c:pt>
                <c:pt idx="517">
                  <c:v>7.1643116100000004</c:v>
                </c:pt>
                <c:pt idx="518">
                  <c:v>7.08276606</c:v>
                </c:pt>
                <c:pt idx="519">
                  <c:v>7.0164641100000003</c:v>
                </c:pt>
                <c:pt idx="520">
                  <c:v>7.9440312000000004</c:v>
                </c:pt>
                <c:pt idx="521">
                  <c:v>7.8059768299999996</c:v>
                </c:pt>
                <c:pt idx="522">
                  <c:v>7.79154284</c:v>
                </c:pt>
                <c:pt idx="523">
                  <c:v>7.7775988399999996</c:v>
                </c:pt>
                <c:pt idx="524">
                  <c:v>7.51849846</c:v>
                </c:pt>
                <c:pt idx="525">
                  <c:v>7.6586575899999998</c:v>
                </c:pt>
                <c:pt idx="526">
                  <c:v>7.6568471599999999</c:v>
                </c:pt>
                <c:pt idx="527">
                  <c:v>7.6214902899999997</c:v>
                </c:pt>
                <c:pt idx="528">
                  <c:v>7.4543206599999996</c:v>
                </c:pt>
                <c:pt idx="529">
                  <c:v>8.5047835099999993</c:v>
                </c:pt>
                <c:pt idx="530">
                  <c:v>8.8488746799999998</c:v>
                </c:pt>
                <c:pt idx="531">
                  <c:v>9.1525786799999995</c:v>
                </c:pt>
                <c:pt idx="532">
                  <c:v>8.2812479400000001</c:v>
                </c:pt>
                <c:pt idx="533">
                  <c:v>6.6213697099999997</c:v>
                </c:pt>
                <c:pt idx="534">
                  <c:v>7.5783593700000003</c:v>
                </c:pt>
                <c:pt idx="535">
                  <c:v>7.7469718399999996</c:v>
                </c:pt>
                <c:pt idx="536">
                  <c:v>8.3205878299999991</c:v>
                </c:pt>
                <c:pt idx="537">
                  <c:v>8.1963653000000001</c:v>
                </c:pt>
                <c:pt idx="538">
                  <c:v>8.0030004800000007</c:v>
                </c:pt>
                <c:pt idx="539">
                  <c:v>8.1253268799999994</c:v>
                </c:pt>
                <c:pt idx="540">
                  <c:v>7.7984362000000003</c:v>
                </c:pt>
                <c:pt idx="541">
                  <c:v>7.9867323499999996</c:v>
                </c:pt>
                <c:pt idx="542">
                  <c:v>8.0756387400000005</c:v>
                </c:pt>
                <c:pt idx="543">
                  <c:v>8.0284892400000007</c:v>
                </c:pt>
                <c:pt idx="544">
                  <c:v>8.2447747299999996</c:v>
                </c:pt>
                <c:pt idx="545">
                  <c:v>8.1512719600000008</c:v>
                </c:pt>
                <c:pt idx="546">
                  <c:v>8.2709947699999997</c:v>
                </c:pt>
                <c:pt idx="547">
                  <c:v>8.4486143800000004</c:v>
                </c:pt>
                <c:pt idx="548">
                  <c:v>10.209926830000001</c:v>
                </c:pt>
                <c:pt idx="549">
                  <c:v>10.163487050000001</c:v>
                </c:pt>
                <c:pt idx="550">
                  <c:v>9.8738290899999992</c:v>
                </c:pt>
                <c:pt idx="551">
                  <c:v>9.8736466600000004</c:v>
                </c:pt>
                <c:pt idx="552">
                  <c:v>12.06969101</c:v>
                </c:pt>
                <c:pt idx="553">
                  <c:v>12.229966080000001</c:v>
                </c:pt>
                <c:pt idx="554">
                  <c:v>11.916122100000001</c:v>
                </c:pt>
                <c:pt idx="555">
                  <c:v>11.92730605</c:v>
                </c:pt>
                <c:pt idx="556">
                  <c:v>11.338131819999999</c:v>
                </c:pt>
                <c:pt idx="557">
                  <c:v>11.306965480000001</c:v>
                </c:pt>
                <c:pt idx="558">
                  <c:v>10.94873875</c:v>
                </c:pt>
                <c:pt idx="559">
                  <c:v>10.86249112</c:v>
                </c:pt>
                <c:pt idx="560">
                  <c:v>9.4859240499999995</c:v>
                </c:pt>
                <c:pt idx="561">
                  <c:v>9.3270527199999993</c:v>
                </c:pt>
                <c:pt idx="562">
                  <c:v>9.42710033</c:v>
                </c:pt>
                <c:pt idx="563">
                  <c:v>9.4753955399999992</c:v>
                </c:pt>
                <c:pt idx="564">
                  <c:v>8.5678242000000004</c:v>
                </c:pt>
                <c:pt idx="565">
                  <c:v>8.6928296100000004</c:v>
                </c:pt>
                <c:pt idx="566">
                  <c:v>8.4514971800000005</c:v>
                </c:pt>
                <c:pt idx="567">
                  <c:v>8.5521251599999992</c:v>
                </c:pt>
                <c:pt idx="568">
                  <c:v>7.6491593499999997</c:v>
                </c:pt>
                <c:pt idx="569">
                  <c:v>7.9691035699999997</c:v>
                </c:pt>
                <c:pt idx="570">
                  <c:v>7.9049772300000001</c:v>
                </c:pt>
                <c:pt idx="571">
                  <c:v>7.7880593400000002</c:v>
                </c:pt>
                <c:pt idx="572">
                  <c:v>7.7159183499999999</c:v>
                </c:pt>
                <c:pt idx="573">
                  <c:v>7.5727438100000004</c:v>
                </c:pt>
                <c:pt idx="574">
                  <c:v>7.38584408</c:v>
                </c:pt>
                <c:pt idx="575">
                  <c:v>7.6046717299999997</c:v>
                </c:pt>
                <c:pt idx="576">
                  <c:v>8.1654374599999997</c:v>
                </c:pt>
                <c:pt idx="577">
                  <c:v>9.4097730199999994</c:v>
                </c:pt>
                <c:pt idx="578">
                  <c:v>9.2494519799999999</c:v>
                </c:pt>
                <c:pt idx="579">
                  <c:v>9.5190695900000009</c:v>
                </c:pt>
                <c:pt idx="580">
                  <c:v>9.0789513900000003</c:v>
                </c:pt>
                <c:pt idx="581">
                  <c:v>9.7186728900000006</c:v>
                </c:pt>
                <c:pt idx="582">
                  <c:v>9.3067819600000004</c:v>
                </c:pt>
                <c:pt idx="583">
                  <c:v>9.3251629699999992</c:v>
                </c:pt>
                <c:pt idx="584">
                  <c:v>9.2406731700000009</c:v>
                </c:pt>
                <c:pt idx="585">
                  <c:v>8.5690740400000003</c:v>
                </c:pt>
                <c:pt idx="586">
                  <c:v>8.6062100000000008</c:v>
                </c:pt>
                <c:pt idx="587">
                  <c:v>8.5677401</c:v>
                </c:pt>
                <c:pt idx="588">
                  <c:v>8.5969372400000008</c:v>
                </c:pt>
                <c:pt idx="589">
                  <c:v>8.4562343599999998</c:v>
                </c:pt>
                <c:pt idx="590">
                  <c:v>8.1434467399999999</c:v>
                </c:pt>
                <c:pt idx="591">
                  <c:v>8.1501575899999992</c:v>
                </c:pt>
                <c:pt idx="592">
                  <c:v>8.3482436500000006</c:v>
                </c:pt>
                <c:pt idx="593">
                  <c:v>8.4529483400000007</c:v>
                </c:pt>
                <c:pt idx="594">
                  <c:v>8.5883398199999998</c:v>
                </c:pt>
                <c:pt idx="595">
                  <c:v>8.2027094500000004</c:v>
                </c:pt>
                <c:pt idx="596">
                  <c:v>8.5497902299999993</c:v>
                </c:pt>
                <c:pt idx="597">
                  <c:v>8.4723587600000005</c:v>
                </c:pt>
                <c:pt idx="598">
                  <c:v>8.4889465099999999</c:v>
                </c:pt>
                <c:pt idx="599">
                  <c:v>8.3093413599999995</c:v>
                </c:pt>
                <c:pt idx="600">
                  <c:v>8.5116323400000002</c:v>
                </c:pt>
                <c:pt idx="601">
                  <c:v>8.23616262</c:v>
                </c:pt>
                <c:pt idx="602">
                  <c:v>7.73645228</c:v>
                </c:pt>
                <c:pt idx="603">
                  <c:v>7.6282890500000002</c:v>
                </c:pt>
                <c:pt idx="604">
                  <c:v>6.8048698999999999</c:v>
                </c:pt>
                <c:pt idx="605">
                  <c:v>6.9674468599999999</c:v>
                </c:pt>
                <c:pt idx="606">
                  <c:v>6.8077260500000003</c:v>
                </c:pt>
                <c:pt idx="607">
                  <c:v>6.9038740299999999</c:v>
                </c:pt>
                <c:pt idx="608">
                  <c:v>6.4735422199999997</c:v>
                </c:pt>
                <c:pt idx="609">
                  <c:v>6.2863109000000001</c:v>
                </c:pt>
                <c:pt idx="610">
                  <c:v>6.1711251799999998</c:v>
                </c:pt>
                <c:pt idx="611">
                  <c:v>6.2611591100000004</c:v>
                </c:pt>
                <c:pt idx="612">
                  <c:v>5.9093945400000001</c:v>
                </c:pt>
                <c:pt idx="613">
                  <c:v>5.73059823</c:v>
                </c:pt>
                <c:pt idx="614">
                  <c:v>5.68744622</c:v>
                </c:pt>
                <c:pt idx="615">
                  <c:v>5.7978210499999996</c:v>
                </c:pt>
                <c:pt idx="616">
                  <c:v>6.0505083500000003</c:v>
                </c:pt>
                <c:pt idx="617">
                  <c:v>6.2531599800000004</c:v>
                </c:pt>
                <c:pt idx="618">
                  <c:v>6.14003341</c:v>
                </c:pt>
                <c:pt idx="619">
                  <c:v>6.6730722299999998</c:v>
                </c:pt>
                <c:pt idx="620">
                  <c:v>6.6619193900000004</c:v>
                </c:pt>
                <c:pt idx="621">
                  <c:v>6.7886188000000001</c:v>
                </c:pt>
                <c:pt idx="622">
                  <c:v>6.6084158400000002</c:v>
                </c:pt>
                <c:pt idx="623">
                  <c:v>6.7256485599999998</c:v>
                </c:pt>
                <c:pt idx="624">
                  <c:v>6.5187678099999999</c:v>
                </c:pt>
                <c:pt idx="625">
                  <c:v>6.3841397600000001</c:v>
                </c:pt>
                <c:pt idx="626">
                  <c:v>6.5973552</c:v>
                </c:pt>
                <c:pt idx="627">
                  <c:v>6.5743394300000002</c:v>
                </c:pt>
                <c:pt idx="628">
                  <c:v>6.79701983</c:v>
                </c:pt>
                <c:pt idx="629">
                  <c:v>6.5931001499999997</c:v>
                </c:pt>
                <c:pt idx="630">
                  <c:v>6.85914351</c:v>
                </c:pt>
                <c:pt idx="631">
                  <c:v>7.1330959600000003</c:v>
                </c:pt>
                <c:pt idx="632">
                  <c:v>6.3826172200000002</c:v>
                </c:pt>
                <c:pt idx="633">
                  <c:v>7.2017697600000004</c:v>
                </c:pt>
                <c:pt idx="634">
                  <c:v>7.0457583699999997</c:v>
                </c:pt>
                <c:pt idx="635">
                  <c:v>6.9638383099999999</c:v>
                </c:pt>
                <c:pt idx="636">
                  <c:v>7.5432069000000004</c:v>
                </c:pt>
                <c:pt idx="637">
                  <c:v>7.5280793900000003</c:v>
                </c:pt>
                <c:pt idx="638">
                  <c:v>7.4946446299999998</c:v>
                </c:pt>
                <c:pt idx="639">
                  <c:v>7.19783274</c:v>
                </c:pt>
                <c:pt idx="640">
                  <c:v>7.6342276199999999</c:v>
                </c:pt>
                <c:pt idx="641">
                  <c:v>8.0892199300000005</c:v>
                </c:pt>
                <c:pt idx="642">
                  <c:v>8.1069316100000002</c:v>
                </c:pt>
                <c:pt idx="643">
                  <c:v>8.0953729699999997</c:v>
                </c:pt>
                <c:pt idx="644">
                  <c:v>9.1981739299999994</c:v>
                </c:pt>
                <c:pt idx="645">
                  <c:v>9.1135603500000002</c:v>
                </c:pt>
                <c:pt idx="646">
                  <c:v>9.4929173999999996</c:v>
                </c:pt>
                <c:pt idx="647">
                  <c:v>13.43613867</c:v>
                </c:pt>
                <c:pt idx="648">
                  <c:v>12.09098037</c:v>
                </c:pt>
                <c:pt idx="649">
                  <c:v>11.78732602</c:v>
                </c:pt>
                <c:pt idx="650">
                  <c:v>12.30188422</c:v>
                </c:pt>
                <c:pt idx="651">
                  <c:v>11.85132817</c:v>
                </c:pt>
                <c:pt idx="652">
                  <c:v>12.99753535</c:v>
                </c:pt>
                <c:pt idx="653">
                  <c:v>14.84068392</c:v>
                </c:pt>
                <c:pt idx="654">
                  <c:v>14.57494567</c:v>
                </c:pt>
                <c:pt idx="655">
                  <c:v>13.597614249999999</c:v>
                </c:pt>
                <c:pt idx="656">
                  <c:v>13.940544879999999</c:v>
                </c:pt>
                <c:pt idx="657">
                  <c:v>12.4544864</c:v>
                </c:pt>
                <c:pt idx="658">
                  <c:v>11.853053559999999</c:v>
                </c:pt>
                <c:pt idx="659">
                  <c:v>10.328473109999999</c:v>
                </c:pt>
                <c:pt idx="660">
                  <c:v>9.6591499800000005</c:v>
                </c:pt>
                <c:pt idx="661">
                  <c:v>9.6268026599999992</c:v>
                </c:pt>
                <c:pt idx="662">
                  <c:v>9.5738837300000004</c:v>
                </c:pt>
                <c:pt idx="663">
                  <c:v>9.6199562099999998</c:v>
                </c:pt>
                <c:pt idx="664">
                  <c:v>9.2758342999999996</c:v>
                </c:pt>
                <c:pt idx="665">
                  <c:v>9.23089783</c:v>
                </c:pt>
                <c:pt idx="666">
                  <c:v>9.3328884300000006</c:v>
                </c:pt>
                <c:pt idx="667">
                  <c:v>9.1455496299999997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85" zoomScaleNormal="85" workbookViewId="0">
      <selection activeCell="O2" sqref="O2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44627</v>
      </c>
      <c r="B2" s="7">
        <v>44627.010416666664</v>
      </c>
      <c r="C2" s="3">
        <f>11630434/10^5</f>
        <v>116.30434</v>
      </c>
      <c r="D2" s="3">
        <f>8250623/10^5</f>
        <v>82.506230000000002</v>
      </c>
      <c r="E2" s="3"/>
      <c r="F2" s="3"/>
      <c r="G2" s="3">
        <f>3379811/10^5</f>
        <v>33.798110000000001</v>
      </c>
      <c r="H2" s="3">
        <f>352505933/10^6</f>
        <v>352.50593300000003</v>
      </c>
      <c r="I2" s="3">
        <f>32416/10^2</f>
        <v>324.16000000000003</v>
      </c>
      <c r="J2" s="3">
        <f t="shared" ref="J2:J27" si="0">17642/10^2</f>
        <v>176.42</v>
      </c>
      <c r="K2" s="3">
        <f>1319418858/10^8</f>
        <v>13.19418858</v>
      </c>
      <c r="L2" s="3">
        <f>413751054/10^8</f>
        <v>4.1375105400000001</v>
      </c>
      <c r="M2" s="3">
        <f>1336285606/10^8</f>
        <v>13.36285606</v>
      </c>
    </row>
    <row r="3" spans="1:15" x14ac:dyDescent="0.3">
      <c r="A3" s="7">
        <v>44627.010416666664</v>
      </c>
      <c r="B3" s="7">
        <v>44627.020833333336</v>
      </c>
      <c r="C3" s="3">
        <f>8698212/10^5</f>
        <v>86.982119999999995</v>
      </c>
      <c r="D3" s="3">
        <f>753376/10^4</f>
        <v>75.337599999999995</v>
      </c>
      <c r="E3" s="3"/>
      <c r="F3" s="3"/>
      <c r="G3" s="3">
        <f>1164452/10^5</f>
        <v>11.64452</v>
      </c>
      <c r="H3" s="3">
        <f>4243599999/10^7</f>
        <v>424.35999989999999</v>
      </c>
      <c r="I3" s="3">
        <f>42436/10^2</f>
        <v>424.36</v>
      </c>
      <c r="J3" s="3">
        <f t="shared" si="0"/>
        <v>176.42</v>
      </c>
      <c r="K3" s="3">
        <f>1218381566/10^8</f>
        <v>12.18381566</v>
      </c>
      <c r="L3" s="3">
        <f>421925612/10^8</f>
        <v>4.2192561199999998</v>
      </c>
      <c r="M3" s="3">
        <f>1422804545/10^8</f>
        <v>14.22804545</v>
      </c>
      <c r="N3" s="5"/>
      <c r="O3" s="6"/>
    </row>
    <row r="4" spans="1:15" x14ac:dyDescent="0.3">
      <c r="A4" s="7">
        <v>44627.020833333336</v>
      </c>
      <c r="B4" s="7">
        <v>44627.03125</v>
      </c>
      <c r="C4" s="3">
        <f>8348692/10^5</f>
        <v>83.486919999999998</v>
      </c>
      <c r="D4" s="3">
        <f>7629419/10^5</f>
        <v>76.29419</v>
      </c>
      <c r="E4" s="3"/>
      <c r="F4" s="3"/>
      <c r="G4" s="3">
        <f>719273/10^5</f>
        <v>7.1927300000000001</v>
      </c>
      <c r="H4" s="3">
        <f>4223599999/10^7</f>
        <v>422.35999989999999</v>
      </c>
      <c r="I4" s="3">
        <f>42236/10^2</f>
        <v>422.36</v>
      </c>
      <c r="J4" s="3">
        <f t="shared" si="0"/>
        <v>176.42</v>
      </c>
      <c r="K4" s="3">
        <f>1216200982/10^8</f>
        <v>12.16200982</v>
      </c>
      <c r="L4" s="3">
        <f>362261627/10^8</f>
        <v>3.62261627</v>
      </c>
      <c r="M4" s="3">
        <f>1444419598/10^8</f>
        <v>14.44419598</v>
      </c>
      <c r="N4" s="5"/>
    </row>
    <row r="5" spans="1:15" x14ac:dyDescent="0.3">
      <c r="A5" s="7">
        <v>44627.03125</v>
      </c>
      <c r="B5" s="7">
        <v>44627.041666666664</v>
      </c>
      <c r="C5" s="3">
        <f>8519103/10^5</f>
        <v>85.191029999999998</v>
      </c>
      <c r="D5" s="3">
        <f>6504952/10^5</f>
        <v>65.049520000000001</v>
      </c>
      <c r="E5" s="3"/>
      <c r="F5" s="3"/>
      <c r="G5" s="3">
        <f>2014151/10^5</f>
        <v>20.14151</v>
      </c>
      <c r="H5" s="3">
        <f>4223723282/10^7</f>
        <v>422.37232820000003</v>
      </c>
      <c r="I5" s="3">
        <f>42236/10^2</f>
        <v>422.36</v>
      </c>
      <c r="J5" s="3">
        <f t="shared" si="0"/>
        <v>176.42</v>
      </c>
      <c r="K5" s="3">
        <f>124065645/10^7</f>
        <v>12.4065645</v>
      </c>
      <c r="L5" s="3">
        <f>366606368/10^8</f>
        <v>3.6660636800000002</v>
      </c>
      <c r="M5" s="3">
        <f>1167297083/10^8</f>
        <v>11.672970830000001</v>
      </c>
      <c r="N5" s="5"/>
    </row>
    <row r="6" spans="1:15" x14ac:dyDescent="0.3">
      <c r="A6" s="7">
        <v>44627.041666666664</v>
      </c>
      <c r="B6" s="7">
        <v>44627.052083333336</v>
      </c>
      <c r="C6" s="3">
        <f>9589441/10^5</f>
        <v>95.894409999999993</v>
      </c>
      <c r="D6" s="3">
        <f>5179038/10^5</f>
        <v>51.790379999999999</v>
      </c>
      <c r="E6" s="3"/>
      <c r="F6" s="3"/>
      <c r="G6" s="3">
        <f>4410403/10^5</f>
        <v>44.104030000000002</v>
      </c>
      <c r="H6" s="3">
        <f>3209563009/10^7</f>
        <v>320.95630089999997</v>
      </c>
      <c r="I6" s="3">
        <f>30489/10^2</f>
        <v>304.89</v>
      </c>
      <c r="J6" s="3">
        <f t="shared" si="0"/>
        <v>176.42</v>
      </c>
      <c r="K6" s="3">
        <f>9156973/10^6</f>
        <v>9.1569730000000007</v>
      </c>
      <c r="L6" s="3">
        <f>65935995/10^8</f>
        <v>0.65935995000000003</v>
      </c>
      <c r="M6" s="3">
        <f>717319558/10^8</f>
        <v>7.1731955799999998</v>
      </c>
      <c r="N6" s="5"/>
    </row>
    <row r="7" spans="1:15" x14ac:dyDescent="0.3">
      <c r="A7" s="7">
        <v>44627.052083333336</v>
      </c>
      <c r="B7" s="7">
        <v>44627.0625</v>
      </c>
      <c r="C7" s="3">
        <f>9483191/10^5</f>
        <v>94.831909999999993</v>
      </c>
      <c r="D7" s="3">
        <f>4538221/10^5</f>
        <v>45.382210000000001</v>
      </c>
      <c r="E7" s="3"/>
      <c r="F7" s="3"/>
      <c r="G7" s="3">
        <f>494497/10^4</f>
        <v>49.4497</v>
      </c>
      <c r="H7" s="3">
        <f>317458166/10^6</f>
        <v>317.45816600000001</v>
      </c>
      <c r="I7" s="3">
        <f>3039/10^1</f>
        <v>303.89999999999998</v>
      </c>
      <c r="J7" s="3">
        <f t="shared" si="0"/>
        <v>176.42</v>
      </c>
      <c r="K7" s="3">
        <f>937261804/10^8</f>
        <v>9.3726180400000008</v>
      </c>
      <c r="L7" s="3">
        <f>76223335/10^8</f>
        <v>0.76223335000000003</v>
      </c>
      <c r="M7" s="3">
        <f>-30326807/10^8</f>
        <v>-0.30326807</v>
      </c>
      <c r="N7" s="5"/>
    </row>
    <row r="8" spans="1:15" x14ac:dyDescent="0.3">
      <c r="A8" s="7">
        <v>44627.0625</v>
      </c>
      <c r="B8" s="7">
        <v>44627.072916666664</v>
      </c>
      <c r="C8" s="3">
        <f>10319066/10^5</f>
        <v>103.19065999999999</v>
      </c>
      <c r="D8" s="3">
        <f>3566594/10^5</f>
        <v>35.665939999999999</v>
      </c>
      <c r="E8" s="3"/>
      <c r="F8" s="3"/>
      <c r="G8" s="3">
        <f>6752472/10^5</f>
        <v>67.524720000000002</v>
      </c>
      <c r="H8" s="3">
        <f>3098395934/10^7</f>
        <v>309.83959340000001</v>
      </c>
      <c r="I8" s="3">
        <f>30492/10^2</f>
        <v>304.92</v>
      </c>
      <c r="J8" s="3">
        <f t="shared" si="0"/>
        <v>176.42</v>
      </c>
      <c r="K8" s="3">
        <f>911892642/10^8</f>
        <v>9.1189264199999993</v>
      </c>
      <c r="L8" s="3">
        <f>101407007/10^8</f>
        <v>1.01407007</v>
      </c>
      <c r="M8" s="3">
        <f>412449268/10^8</f>
        <v>4.1244926800000004</v>
      </c>
      <c r="N8" s="5"/>
    </row>
    <row r="9" spans="1:15" x14ac:dyDescent="0.3">
      <c r="A9" s="7">
        <v>44627.072916666664</v>
      </c>
      <c r="B9" s="7">
        <v>44627.083333333336</v>
      </c>
      <c r="C9" s="3">
        <f>8977052/10^5</f>
        <v>89.770520000000005</v>
      </c>
      <c r="D9" s="3">
        <f>5800267/10^5</f>
        <v>58.002670000000002</v>
      </c>
      <c r="E9" s="3"/>
      <c r="F9" s="3"/>
      <c r="G9" s="3">
        <f>3176785/10^5</f>
        <v>31.767849999999999</v>
      </c>
      <c r="H9" s="3">
        <f>411/10^0</f>
        <v>411</v>
      </c>
      <c r="I9" s="3">
        <f>411/10^0</f>
        <v>411</v>
      </c>
      <c r="J9" s="3">
        <f t="shared" si="0"/>
        <v>176.42</v>
      </c>
      <c r="K9" s="3">
        <f>841759423/10^8</f>
        <v>8.4175942300000006</v>
      </c>
      <c r="L9" s="3">
        <f>67124395/10^8</f>
        <v>0.67124395000000003</v>
      </c>
      <c r="M9" s="3">
        <f>1397388333/10^8</f>
        <v>13.97388333</v>
      </c>
      <c r="N9" s="5"/>
    </row>
    <row r="10" spans="1:15" x14ac:dyDescent="0.3">
      <c r="A10" s="7">
        <v>44627.083333333336</v>
      </c>
      <c r="B10" s="7">
        <v>44627.09375</v>
      </c>
      <c r="C10" s="3">
        <f>9945808/10^5</f>
        <v>99.458079999999995</v>
      </c>
      <c r="D10" s="3">
        <f>4309606/10^5</f>
        <v>43.096060000000001</v>
      </c>
      <c r="E10" s="3"/>
      <c r="F10" s="3"/>
      <c r="G10" s="3">
        <f>5636202/10^5</f>
        <v>56.362020000000001</v>
      </c>
      <c r="H10" s="3">
        <f>3267955735/10^7</f>
        <v>326.79557349999999</v>
      </c>
      <c r="I10" s="3">
        <f>32331/10^2</f>
        <v>323.31</v>
      </c>
      <c r="J10" s="3">
        <f t="shared" si="0"/>
        <v>176.42</v>
      </c>
      <c r="K10" s="3">
        <f>745106797/10^8</f>
        <v>7.4510679700000004</v>
      </c>
      <c r="L10" s="3">
        <f>7900777/10^7</f>
        <v>0.79007769999999999</v>
      </c>
      <c r="M10" s="3">
        <f>71463195/10^7</f>
        <v>7.1463194999999997</v>
      </c>
      <c r="N10" s="5"/>
    </row>
    <row r="11" spans="1:15" x14ac:dyDescent="0.3">
      <c r="A11" s="7">
        <v>44627.09375</v>
      </c>
      <c r="B11" s="7">
        <v>44627.104166666664</v>
      </c>
      <c r="C11" s="3">
        <f>8964447/10^5</f>
        <v>89.644469999999998</v>
      </c>
      <c r="D11" s="3">
        <f>4157931/10^5</f>
        <v>41.57931</v>
      </c>
      <c r="E11" s="3"/>
      <c r="F11" s="3"/>
      <c r="G11" s="3">
        <f>4806516/10^5</f>
        <v>48.065159999999999</v>
      </c>
      <c r="H11" s="3">
        <f>3183302247/10^7</f>
        <v>318.33022469999997</v>
      </c>
      <c r="I11" s="3">
        <f>31675/10^2</f>
        <v>316.75</v>
      </c>
      <c r="J11" s="3">
        <f t="shared" si="0"/>
        <v>176.42</v>
      </c>
      <c r="K11" s="3">
        <f>727204067/10^8</f>
        <v>7.27204067</v>
      </c>
      <c r="L11" s="3">
        <f>79175682/10^8</f>
        <v>0.79175682000000003</v>
      </c>
      <c r="M11" s="3">
        <f>559334849/10^8</f>
        <v>5.5933484900000003</v>
      </c>
      <c r="N11" s="5"/>
    </row>
    <row r="12" spans="1:15" x14ac:dyDescent="0.3">
      <c r="A12" s="7">
        <v>44627.104166666664</v>
      </c>
      <c r="B12" s="7">
        <v>44627.114583333336</v>
      </c>
      <c r="C12" s="3">
        <f>6355928/10^5</f>
        <v>63.559280000000001</v>
      </c>
      <c r="D12" s="3">
        <f>4769896/10^5</f>
        <v>47.69896</v>
      </c>
      <c r="E12" s="3"/>
      <c r="F12" s="3"/>
      <c r="G12" s="3">
        <f>1586032/10^5</f>
        <v>15.86032</v>
      </c>
      <c r="H12" s="3">
        <f>3175119301/10^7</f>
        <v>317.51193009999997</v>
      </c>
      <c r="I12" s="3">
        <f>31675/10^2</f>
        <v>316.75</v>
      </c>
      <c r="J12" s="3">
        <f t="shared" si="0"/>
        <v>176.42</v>
      </c>
      <c r="K12" s="3">
        <f>73720912/10^7</f>
        <v>7.3720911999999998</v>
      </c>
      <c r="L12" s="3">
        <f>81143612/10^8</f>
        <v>0.81143611999999998</v>
      </c>
      <c r="M12" s="3">
        <f>688451098/10^8</f>
        <v>6.8845109799999999</v>
      </c>
      <c r="N12" s="5"/>
    </row>
    <row r="13" spans="1:15" x14ac:dyDescent="0.3">
      <c r="A13" s="7">
        <v>44627.114583333336</v>
      </c>
      <c r="B13" s="7">
        <v>44627.125</v>
      </c>
      <c r="C13" s="3">
        <f>536946/10^4</f>
        <v>53.694600000000001</v>
      </c>
      <c r="D13" s="3">
        <f>5659624/10^5</f>
        <v>56.596240000000002</v>
      </c>
      <c r="E13" s="3"/>
      <c r="F13" s="3"/>
      <c r="G13" s="3">
        <f>-290164/10^5</f>
        <v>-2.90164</v>
      </c>
      <c r="H13" s="3">
        <f>1603674752/10^7</f>
        <v>160.3674752</v>
      </c>
      <c r="I13" s="3">
        <f>3039/10^1</f>
        <v>303.89999999999998</v>
      </c>
      <c r="J13" s="3">
        <f t="shared" si="0"/>
        <v>176.42</v>
      </c>
      <c r="K13" s="3">
        <f>871070387/10^8</f>
        <v>8.7107038699999997</v>
      </c>
      <c r="L13" s="3">
        <f>81926475/10^8</f>
        <v>0.81926474999999999</v>
      </c>
      <c r="M13" s="3">
        <f>684273386/10^8</f>
        <v>6.8427338600000001</v>
      </c>
      <c r="N13" s="5"/>
    </row>
    <row r="14" spans="1:15" x14ac:dyDescent="0.3">
      <c r="A14" s="7">
        <v>44627.125</v>
      </c>
      <c r="B14" s="7">
        <v>44627.135416666664</v>
      </c>
      <c r="C14" s="3">
        <f>7689329/10^5</f>
        <v>76.893289999999993</v>
      </c>
      <c r="D14" s="3">
        <f>4054671/10^5</f>
        <v>40.546709999999997</v>
      </c>
      <c r="E14" s="3"/>
      <c r="F14" s="3"/>
      <c r="G14" s="3">
        <f>3634658/10^5</f>
        <v>36.346580000000003</v>
      </c>
      <c r="H14" s="3">
        <f>3088931321/10^7</f>
        <v>308.8931321</v>
      </c>
      <c r="I14" s="3">
        <f>30489/10^2</f>
        <v>304.89</v>
      </c>
      <c r="J14" s="3">
        <f t="shared" si="0"/>
        <v>176.42</v>
      </c>
      <c r="K14" s="3">
        <f>764131142/10^8</f>
        <v>7.6413114200000001</v>
      </c>
      <c r="L14" s="3">
        <f>72924528/10^8</f>
        <v>0.72924528</v>
      </c>
      <c r="M14" s="3">
        <f>477197545/10^8</f>
        <v>4.7719754500000002</v>
      </c>
      <c r="N14" s="5"/>
    </row>
    <row r="15" spans="1:15" x14ac:dyDescent="0.3">
      <c r="A15" s="7">
        <v>44627.135416666664</v>
      </c>
      <c r="B15" s="7">
        <v>44627.145833333336</v>
      </c>
      <c r="C15" s="3">
        <f>843282/10^4</f>
        <v>84.328199999999995</v>
      </c>
      <c r="D15" s="3">
        <f>4723003/10^5</f>
        <v>47.230029999999999</v>
      </c>
      <c r="E15" s="3"/>
      <c r="F15" s="3"/>
      <c r="G15" s="3">
        <f>3709817/10^5</f>
        <v>37.098170000000003</v>
      </c>
      <c r="H15" s="3">
        <f>3052565864/10^7</f>
        <v>305.2565864</v>
      </c>
      <c r="I15" s="3">
        <f>30492/10^2</f>
        <v>304.92</v>
      </c>
      <c r="J15" s="3">
        <f t="shared" si="0"/>
        <v>176.42</v>
      </c>
      <c r="K15" s="3">
        <f>754774193/10^8</f>
        <v>7.5477419299999999</v>
      </c>
      <c r="L15" s="3">
        <f>73317725/10^8</f>
        <v>0.73317725</v>
      </c>
      <c r="M15" s="3">
        <f>559767466/10^8</f>
        <v>5.59767466</v>
      </c>
      <c r="N15" s="5"/>
    </row>
    <row r="16" spans="1:15" x14ac:dyDescent="0.3">
      <c r="A16" s="7">
        <v>44627.145833333336</v>
      </c>
      <c r="B16" s="7">
        <v>44627.15625</v>
      </c>
      <c r="C16" s="3">
        <f>6901386/10^5</f>
        <v>69.013859999999994</v>
      </c>
      <c r="D16" s="3">
        <f>4874153/10^5</f>
        <v>48.741529999999997</v>
      </c>
      <c r="E16" s="3"/>
      <c r="F16" s="3"/>
      <c r="G16" s="3">
        <f>2027233/10^5</f>
        <v>20.27233</v>
      </c>
      <c r="H16" s="3">
        <f>3069051632/10^7</f>
        <v>306.9051632</v>
      </c>
      <c r="I16" s="3">
        <f>30489/10^2</f>
        <v>304.89</v>
      </c>
      <c r="J16" s="3">
        <f t="shared" si="0"/>
        <v>176.42</v>
      </c>
      <c r="K16" s="3">
        <f>742031287/10^8</f>
        <v>7.4203128700000001</v>
      </c>
      <c r="L16" s="3">
        <f>73549871/10^8</f>
        <v>0.73549871</v>
      </c>
      <c r="M16" s="3">
        <f>482678714/10^8</f>
        <v>4.8267871400000004</v>
      </c>
      <c r="N16" s="5"/>
    </row>
    <row r="17" spans="1:14" x14ac:dyDescent="0.3">
      <c r="A17" s="7">
        <v>44627.15625</v>
      </c>
      <c r="B17" s="7">
        <v>44627.166666666664</v>
      </c>
      <c r="C17" s="3">
        <f>6558907/10^5</f>
        <v>65.589070000000007</v>
      </c>
      <c r="D17" s="3">
        <f>3783628/10^5</f>
        <v>37.836280000000002</v>
      </c>
      <c r="E17" s="3"/>
      <c r="F17" s="3"/>
      <c r="G17" s="3">
        <f>2775279/10^5</f>
        <v>27.752790000000001</v>
      </c>
      <c r="H17" s="3">
        <f>2993475993/10^7</f>
        <v>299.34759930000001</v>
      </c>
      <c r="I17" s="3">
        <f>28917/10^2</f>
        <v>289.17</v>
      </c>
      <c r="J17" s="3">
        <f t="shared" si="0"/>
        <v>176.42</v>
      </c>
      <c r="K17" s="3">
        <f>729535155/10^8</f>
        <v>7.2953515500000004</v>
      </c>
      <c r="L17" s="3">
        <f>73283789/10^8</f>
        <v>0.73283788999999999</v>
      </c>
      <c r="M17" s="3">
        <f>472323355/10^8</f>
        <v>4.7232335499999998</v>
      </c>
      <c r="N17" s="5"/>
    </row>
    <row r="18" spans="1:14" x14ac:dyDescent="0.3">
      <c r="A18" s="7">
        <v>44627.166666666664</v>
      </c>
      <c r="B18" s="7">
        <v>44627.177083333336</v>
      </c>
      <c r="C18" s="3">
        <f>8031323/10^5</f>
        <v>80.313230000000004</v>
      </c>
      <c r="D18" s="3">
        <f>4995839/10^5</f>
        <v>49.958390000000001</v>
      </c>
      <c r="E18" s="3"/>
      <c r="F18" s="3"/>
      <c r="G18" s="3">
        <f>3035484/10^5</f>
        <v>30.354839999999999</v>
      </c>
      <c r="H18" s="3">
        <f>4090425249/10^7</f>
        <v>409.04252489999999</v>
      </c>
      <c r="I18" s="3">
        <f>409/10^0</f>
        <v>409</v>
      </c>
      <c r="J18" s="3">
        <f t="shared" si="0"/>
        <v>176.42</v>
      </c>
      <c r="K18" s="3">
        <f>919380949/10^8</f>
        <v>9.1938094899999996</v>
      </c>
      <c r="L18" s="3">
        <f>103643474/10^8</f>
        <v>1.03643474</v>
      </c>
      <c r="M18" s="3">
        <f>327557063/10^8</f>
        <v>3.2755706299999998</v>
      </c>
      <c r="N18" s="5"/>
    </row>
    <row r="19" spans="1:14" x14ac:dyDescent="0.3">
      <c r="A19" s="7">
        <v>44627.177083333336</v>
      </c>
      <c r="B19" s="7">
        <v>44627.1875</v>
      </c>
      <c r="C19" s="3">
        <f>8600608/10^5</f>
        <v>86.006079999999997</v>
      </c>
      <c r="D19" s="3">
        <f>370471/10^4</f>
        <v>37.0471</v>
      </c>
      <c r="E19" s="3"/>
      <c r="F19" s="3"/>
      <c r="G19" s="3">
        <f>4895898/10^5</f>
        <v>48.958979999999997</v>
      </c>
      <c r="H19" s="3">
        <f>3722332002/10^7</f>
        <v>372.2332002</v>
      </c>
      <c r="I19" s="3">
        <f>36989/10^2</f>
        <v>369.89</v>
      </c>
      <c r="J19" s="3">
        <f t="shared" si="0"/>
        <v>176.42</v>
      </c>
      <c r="K19" s="3">
        <f>945383128/10^8</f>
        <v>9.4538312799999993</v>
      </c>
      <c r="L19" s="3">
        <f>118586726/10^8</f>
        <v>1.18586726</v>
      </c>
      <c r="M19" s="3">
        <f>574395131/10^8</f>
        <v>5.7439513099999999</v>
      </c>
      <c r="N19" s="5"/>
    </row>
    <row r="20" spans="1:14" x14ac:dyDescent="0.3">
      <c r="A20" s="7">
        <v>44627.1875</v>
      </c>
      <c r="B20" s="7">
        <v>44627.197916666664</v>
      </c>
      <c r="C20" s="3">
        <f>8502901/10^5</f>
        <v>85.02901</v>
      </c>
      <c r="D20" s="3">
        <f>3706412/10^5</f>
        <v>37.064120000000003</v>
      </c>
      <c r="E20" s="3"/>
      <c r="F20" s="3"/>
      <c r="G20" s="3">
        <f>4796489/10^5</f>
        <v>47.964889999999997</v>
      </c>
      <c r="H20" s="3">
        <f>3021260861/10^7</f>
        <v>302.12608610000001</v>
      </c>
      <c r="I20" s="3">
        <f>28672/10^2</f>
        <v>286.72000000000003</v>
      </c>
      <c r="J20" s="3">
        <f t="shared" si="0"/>
        <v>176.42</v>
      </c>
      <c r="K20" s="3">
        <f>983219132/10^8</f>
        <v>9.8321913199999997</v>
      </c>
      <c r="L20" s="3">
        <f>155174358/10^8</f>
        <v>1.5517435799999999</v>
      </c>
      <c r="M20" s="3">
        <f>314137791/10^8</f>
        <v>3.1413779100000001</v>
      </c>
      <c r="N20" s="5"/>
    </row>
    <row r="21" spans="1:14" x14ac:dyDescent="0.3">
      <c r="A21" s="7">
        <v>44627.197916666664</v>
      </c>
      <c r="B21" s="7">
        <v>44627.208333333336</v>
      </c>
      <c r="C21" s="3">
        <f>10400299/10^5</f>
        <v>104.00299</v>
      </c>
      <c r="D21" s="3">
        <f>2976166/10^5</f>
        <v>29.761659999999999</v>
      </c>
      <c r="E21" s="3"/>
      <c r="F21" s="3"/>
      <c r="G21" s="3">
        <f>7424133/10^5</f>
        <v>74.241330000000005</v>
      </c>
      <c r="H21" s="3">
        <f>3019844087/10^7</f>
        <v>301.98440870000002</v>
      </c>
      <c r="I21" s="3">
        <f>28672/10^2</f>
        <v>286.72000000000003</v>
      </c>
      <c r="J21" s="3">
        <f t="shared" si="0"/>
        <v>176.42</v>
      </c>
      <c r="K21" s="3">
        <f>975964272/10^8</f>
        <v>9.7596427200000004</v>
      </c>
      <c r="L21" s="3">
        <f>156651285/10^8</f>
        <v>1.5665128500000001</v>
      </c>
      <c r="M21" s="3">
        <f>199291608/10^8</f>
        <v>1.9929160800000001</v>
      </c>
      <c r="N21" s="5"/>
    </row>
    <row r="22" spans="1:14" x14ac:dyDescent="0.3">
      <c r="A22" s="7">
        <v>44627.208333333336</v>
      </c>
      <c r="B22" s="7">
        <v>44627.21875</v>
      </c>
      <c r="C22" s="3">
        <f>8717491/10^5</f>
        <v>87.174909999999997</v>
      </c>
      <c r="D22" s="3">
        <f>286766/10^4</f>
        <v>28.676600000000001</v>
      </c>
      <c r="E22" s="3"/>
      <c r="F22" s="3"/>
      <c r="G22" s="3">
        <f>5849831/10^5</f>
        <v>58.498309999999996</v>
      </c>
      <c r="H22" s="3">
        <f>4891299999/10^7</f>
        <v>489.12999989999997</v>
      </c>
      <c r="I22" s="3">
        <f>48913/10^2</f>
        <v>489.13</v>
      </c>
      <c r="J22" s="3">
        <f t="shared" si="0"/>
        <v>176.42</v>
      </c>
      <c r="K22" s="3">
        <f>1478641532/10^8</f>
        <v>14.78641532</v>
      </c>
      <c r="L22" s="3">
        <f>1559762644/10^8</f>
        <v>15.597626440000001</v>
      </c>
      <c r="M22" s="3">
        <f>527023947/10^8</f>
        <v>5.2702394699999999</v>
      </c>
      <c r="N22" s="5"/>
    </row>
    <row r="23" spans="1:14" x14ac:dyDescent="0.3">
      <c r="A23" s="7">
        <v>44627.21875</v>
      </c>
      <c r="B23" s="7">
        <v>44627.229166666664</v>
      </c>
      <c r="C23" s="3">
        <f>8678118/10^5</f>
        <v>86.781180000000006</v>
      </c>
      <c r="D23" s="3">
        <f>2594809/10^5</f>
        <v>25.948090000000001</v>
      </c>
      <c r="E23" s="3"/>
      <c r="F23" s="3"/>
      <c r="G23" s="3">
        <f>6083309/10^5</f>
        <v>60.833089999999999</v>
      </c>
      <c r="H23" s="3">
        <f>3934299999/10^7</f>
        <v>393.42999989999998</v>
      </c>
      <c r="I23" s="3">
        <f>39343/10^2</f>
        <v>393.43</v>
      </c>
      <c r="J23" s="3">
        <f t="shared" si="0"/>
        <v>176.42</v>
      </c>
      <c r="K23" s="3">
        <f>153596719/10^7</f>
        <v>15.3596719</v>
      </c>
      <c r="L23" s="3">
        <f>1559639567/10^8</f>
        <v>15.59639567</v>
      </c>
      <c r="M23" s="3">
        <f>385593409/10^8</f>
        <v>3.8559340899999999</v>
      </c>
      <c r="N23" s="5"/>
    </row>
    <row r="24" spans="1:14" x14ac:dyDescent="0.3">
      <c r="A24" s="7">
        <v>44627.229166666664</v>
      </c>
      <c r="B24" s="7">
        <v>44627.239583333336</v>
      </c>
      <c r="C24" s="3">
        <f>11522514/10^5</f>
        <v>115.22514</v>
      </c>
      <c r="D24" s="3">
        <f>377909/10^4</f>
        <v>37.790900000000001</v>
      </c>
      <c r="E24" s="3"/>
      <c r="F24" s="3"/>
      <c r="G24" s="3">
        <f>7743424/10^5</f>
        <v>77.434240000000003</v>
      </c>
      <c r="H24" s="3">
        <f>3934299999/10^7</f>
        <v>393.42999989999998</v>
      </c>
      <c r="I24" s="3">
        <f>39343/10^2</f>
        <v>393.43</v>
      </c>
      <c r="J24" s="3">
        <f t="shared" si="0"/>
        <v>176.42</v>
      </c>
      <c r="K24" s="3">
        <f>1529502146/10^8</f>
        <v>15.295021459999999</v>
      </c>
      <c r="L24" s="3">
        <f>886212572/10^8</f>
        <v>8.8621257199999999</v>
      </c>
      <c r="M24" s="3">
        <f>728300458/10^8</f>
        <v>7.2830045800000001</v>
      </c>
      <c r="N24" s="5"/>
    </row>
    <row r="25" spans="1:14" x14ac:dyDescent="0.3">
      <c r="A25" s="7">
        <v>44627.239583333336</v>
      </c>
      <c r="B25" s="7">
        <v>44627.25</v>
      </c>
      <c r="C25" s="3">
        <f>1177731/10^4</f>
        <v>117.7731</v>
      </c>
      <c r="D25" s="3">
        <f>2331233/10^5</f>
        <v>23.312329999999999</v>
      </c>
      <c r="E25" s="3"/>
      <c r="F25" s="3"/>
      <c r="G25" s="3">
        <f>9446077/10^5</f>
        <v>94.460769999999997</v>
      </c>
      <c r="H25" s="3">
        <f>3934299999/10^7</f>
        <v>393.42999989999998</v>
      </c>
      <c r="I25" s="3">
        <f>39343/10^2</f>
        <v>393.43</v>
      </c>
      <c r="J25" s="3">
        <f t="shared" si="0"/>
        <v>176.42</v>
      </c>
      <c r="K25" s="3">
        <f>1510671623/10^8</f>
        <v>15.10671623</v>
      </c>
      <c r="L25" s="3">
        <f>929748269/10^8</f>
        <v>9.2974826900000007</v>
      </c>
      <c r="M25" s="3">
        <f>581240952/10^8</f>
        <v>5.8124095200000001</v>
      </c>
      <c r="N25" s="5"/>
    </row>
    <row r="26" spans="1:14" x14ac:dyDescent="0.3">
      <c r="A26" s="7">
        <v>44627.25</v>
      </c>
      <c r="B26" s="7">
        <v>44627.260416666664</v>
      </c>
      <c r="C26" s="3">
        <f>14345909/10^5</f>
        <v>143.45909</v>
      </c>
      <c r="D26" s="3">
        <f>6297156/10^5</f>
        <v>62.971559999999997</v>
      </c>
      <c r="E26" s="3"/>
      <c r="F26" s="3"/>
      <c r="G26" s="3">
        <f>8048753/10^5</f>
        <v>80.487530000000007</v>
      </c>
      <c r="H26" s="3">
        <f>3470083958/10^7</f>
        <v>347.00839580000002</v>
      </c>
      <c r="I26" s="3">
        <f>3469/10^1</f>
        <v>346.9</v>
      </c>
      <c r="J26" s="3">
        <f t="shared" si="0"/>
        <v>176.42</v>
      </c>
      <c r="K26" s="3">
        <f>120134188/10^7</f>
        <v>12.0134188</v>
      </c>
      <c r="L26" s="3">
        <f>983548812/10^8</f>
        <v>9.8354881200000008</v>
      </c>
      <c r="M26" s="3">
        <f>1070570668/10^8</f>
        <v>10.70570668</v>
      </c>
      <c r="N26" s="5"/>
    </row>
    <row r="27" spans="1:14" x14ac:dyDescent="0.3">
      <c r="A27" s="7">
        <v>44627.260416666664</v>
      </c>
      <c r="B27" s="7">
        <v>44627.270833333336</v>
      </c>
      <c r="C27" s="3">
        <f>135364/10^3</f>
        <v>135.364</v>
      </c>
      <c r="D27" s="3">
        <f>5118858/10^5</f>
        <v>51.188580000000002</v>
      </c>
      <c r="E27" s="3"/>
      <c r="F27" s="3"/>
      <c r="G27" s="3">
        <f>8417542/10^5</f>
        <v>84.175420000000003</v>
      </c>
      <c r="H27" s="3">
        <f>3488004859/10^7</f>
        <v>348.80048590000001</v>
      </c>
      <c r="I27" s="3">
        <f>3487/10^1</f>
        <v>348.7</v>
      </c>
      <c r="J27" s="3">
        <f t="shared" si="0"/>
        <v>176.42</v>
      </c>
      <c r="K27" s="3">
        <f>120499042/10^7</f>
        <v>12.0499042</v>
      </c>
      <c r="L27" s="3">
        <f>954866061/10^8</f>
        <v>9.5486606100000007</v>
      </c>
      <c r="M27" s="3">
        <f>1026961541/10^8</f>
        <v>10.26961541</v>
      </c>
      <c r="N27" s="5"/>
    </row>
    <row r="28" spans="1:14" x14ac:dyDescent="0.3">
      <c r="A28" s="7">
        <v>44627.270833333336</v>
      </c>
      <c r="B28" s="7">
        <v>44627.28125</v>
      </c>
      <c r="C28" s="3">
        <f>13975049/10^5</f>
        <v>139.75049000000001</v>
      </c>
      <c r="D28" s="3">
        <f>5010902/10^5</f>
        <v>50.109020000000001</v>
      </c>
      <c r="E28" s="3"/>
      <c r="F28" s="3"/>
      <c r="G28" s="3">
        <f>8964147/10^5</f>
        <v>89.641469999999998</v>
      </c>
      <c r="H28" s="3">
        <f>349018446/10^6</f>
        <v>349.01844599999998</v>
      </c>
      <c r="I28" s="3">
        <f>3487/10^1</f>
        <v>348.7</v>
      </c>
      <c r="J28" s="3">
        <f>17558/10^2</f>
        <v>175.58</v>
      </c>
      <c r="K28" s="3">
        <f>1159633405/10^8</f>
        <v>11.596334049999999</v>
      </c>
      <c r="L28" s="3">
        <f>851395097/10^8</f>
        <v>8.5139509699999998</v>
      </c>
      <c r="M28" s="3">
        <f>1017594231/10^8</f>
        <v>10.17594231</v>
      </c>
      <c r="N28" s="5"/>
    </row>
    <row r="29" spans="1:14" x14ac:dyDescent="0.3">
      <c r="A29" s="7">
        <v>44627.28125</v>
      </c>
      <c r="B29" s="7">
        <v>44627.291666666664</v>
      </c>
      <c r="C29" s="3">
        <f>15081136/10^5</f>
        <v>150.81136000000001</v>
      </c>
      <c r="D29" s="3">
        <f>5299992/10^5</f>
        <v>52.999920000000003</v>
      </c>
      <c r="E29" s="3"/>
      <c r="F29" s="3"/>
      <c r="G29" s="3">
        <f>9781144/10^5</f>
        <v>97.811440000000005</v>
      </c>
      <c r="H29" s="3">
        <f>3491968296/10^7</f>
        <v>349.1968296</v>
      </c>
      <c r="I29" s="3">
        <f>3487/10^1</f>
        <v>348.7</v>
      </c>
      <c r="J29" s="3">
        <f>17642/10^2</f>
        <v>176.42</v>
      </c>
      <c r="K29" s="3">
        <f>1121099322/10^8</f>
        <v>11.210993220000001</v>
      </c>
      <c r="L29" s="3">
        <f>833904743/10^8</f>
        <v>8.3390474300000008</v>
      </c>
      <c r="M29" s="3">
        <f>1286641933/10^8</f>
        <v>12.866419329999999</v>
      </c>
      <c r="N29" s="5"/>
    </row>
    <row r="30" spans="1:14" x14ac:dyDescent="0.3">
      <c r="A30" s="7">
        <v>44627.291666666664</v>
      </c>
      <c r="B30" s="7">
        <v>44627.302083333336</v>
      </c>
      <c r="C30" s="3">
        <f>16616108/10^5</f>
        <v>166.16108</v>
      </c>
      <c r="D30" s="3">
        <f>4473166/10^5</f>
        <v>44.731659999999998</v>
      </c>
      <c r="E30" s="3"/>
      <c r="F30" s="3"/>
      <c r="G30" s="3">
        <f>12142942/10^5</f>
        <v>121.42941999999999</v>
      </c>
      <c r="H30" s="3">
        <f>3487003025/10^7</f>
        <v>348.70030250000002</v>
      </c>
      <c r="I30" s="3">
        <f>3487/10^1</f>
        <v>348.7</v>
      </c>
      <c r="J30" s="3">
        <f>17642/10^2</f>
        <v>176.42</v>
      </c>
      <c r="K30" s="3">
        <f>1021336121/10^8</f>
        <v>10.21336121</v>
      </c>
      <c r="L30" s="3">
        <f>627254221/10^8</f>
        <v>6.2725422100000001</v>
      </c>
      <c r="M30" s="3">
        <f>727697549/10^8</f>
        <v>7.2769754899999999</v>
      </c>
      <c r="N30" s="5"/>
    </row>
    <row r="31" spans="1:14" x14ac:dyDescent="0.3">
      <c r="A31" s="7">
        <v>44627.302083333336</v>
      </c>
      <c r="B31" s="7">
        <v>44627.3125</v>
      </c>
      <c r="C31" s="3">
        <f>13507949/10^5</f>
        <v>135.07948999999999</v>
      </c>
      <c r="D31" s="3">
        <f>6831988/10^5</f>
        <v>68.319879999999998</v>
      </c>
      <c r="E31" s="3"/>
      <c r="F31" s="3"/>
      <c r="G31" s="3">
        <f>6675961/10^5</f>
        <v>66.759609999999995</v>
      </c>
      <c r="H31" s="3">
        <f>3487013904/10^7</f>
        <v>348.70139039999998</v>
      </c>
      <c r="I31" s="3">
        <f>3487/10^1</f>
        <v>348.7</v>
      </c>
      <c r="J31" s="3">
        <f>17642/10^2</f>
        <v>176.42</v>
      </c>
      <c r="K31" s="3">
        <f>1085715292/10^8</f>
        <v>10.857152920000001</v>
      </c>
      <c r="L31" s="3">
        <f>622572975/10^8</f>
        <v>6.2257297500000002</v>
      </c>
      <c r="M31" s="3">
        <f>1231511099/10^8</f>
        <v>12.315110990000001</v>
      </c>
      <c r="N31" s="5"/>
    </row>
    <row r="32" spans="1:14" x14ac:dyDescent="0.3">
      <c r="A32" s="7">
        <v>44627.3125</v>
      </c>
      <c r="B32" s="7">
        <v>44627.322916666664</v>
      </c>
      <c r="C32" s="3">
        <f>14050237/10^5</f>
        <v>140.50237000000001</v>
      </c>
      <c r="D32" s="3">
        <f>8614838/10^5</f>
        <v>86.148380000000003</v>
      </c>
      <c r="E32" s="3"/>
      <c r="F32" s="3"/>
      <c r="G32" s="3">
        <f>5435399/10^5</f>
        <v>54.353990000000003</v>
      </c>
      <c r="H32" s="3">
        <f>333820586/10^6</f>
        <v>333.82058599999999</v>
      </c>
      <c r="I32" s="3">
        <f>33172/10^2</f>
        <v>331.72</v>
      </c>
      <c r="J32" s="3">
        <f>17642/10^2</f>
        <v>176.42</v>
      </c>
      <c r="K32" s="3">
        <f>94241883/10^7</f>
        <v>9.4241883000000009</v>
      </c>
      <c r="L32" s="3">
        <f>707448095/10^8</f>
        <v>7.0744809499999999</v>
      </c>
      <c r="M32" s="3">
        <f>1165735109/10^8</f>
        <v>11.657351090000001</v>
      </c>
      <c r="N32" s="5"/>
    </row>
    <row r="33" spans="1:14" x14ac:dyDescent="0.3">
      <c r="A33" s="7">
        <v>44627.322916666664</v>
      </c>
      <c r="B33" s="7">
        <v>44627.333333333336</v>
      </c>
      <c r="C33" s="3">
        <f>16034661/10^5</f>
        <v>160.34661</v>
      </c>
      <c r="D33" s="3">
        <f>8777689/10^5</f>
        <v>87.776889999999995</v>
      </c>
      <c r="E33" s="3"/>
      <c r="F33" s="3"/>
      <c r="G33" s="3">
        <f>7256972/10^5</f>
        <v>72.569720000000004</v>
      </c>
      <c r="H33" s="3">
        <f>3353091464/10^7</f>
        <v>335.30914639999997</v>
      </c>
      <c r="I33" s="3">
        <f>33175/10^2</f>
        <v>331.75</v>
      </c>
      <c r="J33" s="3">
        <f>17642/10^2</f>
        <v>176.42</v>
      </c>
      <c r="K33" s="3">
        <f>944092771/10^8</f>
        <v>9.4409277100000004</v>
      </c>
      <c r="L33" s="3">
        <f>646699467/10^8</f>
        <v>6.4669946700000001</v>
      </c>
      <c r="M33" s="3">
        <f>937079861/10^8</f>
        <v>9.3707986099999996</v>
      </c>
      <c r="N33" s="5"/>
    </row>
    <row r="34" spans="1:14" x14ac:dyDescent="0.3">
      <c r="A34" s="7">
        <v>44627.333333333336</v>
      </c>
      <c r="B34" s="7">
        <v>44627.34375</v>
      </c>
      <c r="C34" s="3">
        <f>15654699/10^5</f>
        <v>156.54698999999999</v>
      </c>
      <c r="D34" s="3">
        <f>1525894/10^5</f>
        <v>15.258940000000001</v>
      </c>
      <c r="E34" s="3"/>
      <c r="F34" s="3"/>
      <c r="G34" s="3">
        <f>14128805/10^5</f>
        <v>141.28805</v>
      </c>
      <c r="H34" s="3">
        <f>3489008658/10^7</f>
        <v>348.90086580000002</v>
      </c>
      <c r="I34" s="3">
        <f t="shared" ref="I34:I41" si="1">3462/10^1</f>
        <v>346.2</v>
      </c>
      <c r="J34" s="3">
        <f>18957/10^2</f>
        <v>189.57</v>
      </c>
      <c r="K34" s="3">
        <f>505892029/10^8</f>
        <v>5.0589202899999997</v>
      </c>
      <c r="L34" s="3">
        <f>220081203/10^8</f>
        <v>2.2008120299999998</v>
      </c>
      <c r="M34" s="3">
        <f>485785972/10^8</f>
        <v>4.8578597200000004</v>
      </c>
      <c r="N34" s="5"/>
    </row>
    <row r="35" spans="1:14" x14ac:dyDescent="0.3">
      <c r="A35" s="7">
        <v>44627.34375</v>
      </c>
      <c r="B35" s="7">
        <v>44627.354166666664</v>
      </c>
      <c r="C35" s="3">
        <f>14951541/10^5</f>
        <v>149.51541</v>
      </c>
      <c r="D35" s="3">
        <f>3728604/10^5</f>
        <v>37.28604</v>
      </c>
      <c r="E35" s="3"/>
      <c r="F35" s="3"/>
      <c r="G35" s="3">
        <f>11222937/10^5</f>
        <v>112.22937</v>
      </c>
      <c r="H35" s="3">
        <f>3464552522/10^7</f>
        <v>346.45525220000002</v>
      </c>
      <c r="I35" s="3">
        <f t="shared" si="1"/>
        <v>346.2</v>
      </c>
      <c r="J35" s="3">
        <f>17558/10^2</f>
        <v>175.58</v>
      </c>
      <c r="K35" s="3">
        <f>428040248/10^8</f>
        <v>4.2804024800000002</v>
      </c>
      <c r="L35" s="3">
        <f>216829628/10^8</f>
        <v>2.1682962799999999</v>
      </c>
      <c r="M35" s="3">
        <f>44279427/10^7</f>
        <v>4.4279427</v>
      </c>
      <c r="N35" s="5"/>
    </row>
    <row r="36" spans="1:14" x14ac:dyDescent="0.3">
      <c r="A36" s="7">
        <v>44627.354166666664</v>
      </c>
      <c r="B36" s="7">
        <v>44627.364583333336</v>
      </c>
      <c r="C36" s="3">
        <f>14188528/10^5</f>
        <v>141.88527999999999</v>
      </c>
      <c r="D36" s="3">
        <f>2908208/10^5</f>
        <v>29.082080000000001</v>
      </c>
      <c r="E36" s="3"/>
      <c r="F36" s="3"/>
      <c r="G36" s="3">
        <f>1128032/10^4</f>
        <v>112.8032</v>
      </c>
      <c r="H36" s="3">
        <f>3463312098/10^7</f>
        <v>346.33120980000001</v>
      </c>
      <c r="I36" s="3">
        <f t="shared" si="1"/>
        <v>346.2</v>
      </c>
      <c r="J36" s="3">
        <f>0/10^0</f>
        <v>0</v>
      </c>
      <c r="K36" s="3">
        <f>435808033/10^8</f>
        <v>4.3580803299999999</v>
      </c>
      <c r="L36" s="3">
        <f>191226893/10^8</f>
        <v>1.91226893</v>
      </c>
      <c r="M36" s="3">
        <f>62138988/10^7</f>
        <v>6.2138987999999999</v>
      </c>
      <c r="N36" s="5"/>
    </row>
    <row r="37" spans="1:14" x14ac:dyDescent="0.3">
      <c r="A37" s="7">
        <v>44627.364583333336</v>
      </c>
      <c r="B37" s="7">
        <v>44627.375</v>
      </c>
      <c r="C37" s="3">
        <f>1296566/10^4</f>
        <v>129.6566</v>
      </c>
      <c r="D37" s="3">
        <f>6751415/10^5</f>
        <v>67.514150000000001</v>
      </c>
      <c r="E37" s="3"/>
      <c r="F37" s="3"/>
      <c r="G37" s="3">
        <f>6214245/10^5</f>
        <v>62.142449999999997</v>
      </c>
      <c r="H37" s="3">
        <f>346440533/10^6</f>
        <v>346.44053300000002</v>
      </c>
      <c r="I37" s="3">
        <f t="shared" si="1"/>
        <v>346.2</v>
      </c>
      <c r="J37" s="3">
        <f t="shared" ref="J37:J53" si="2">18462/10^2</f>
        <v>184.62</v>
      </c>
      <c r="K37" s="3">
        <f>459157745/10^8</f>
        <v>4.5915774499999999</v>
      </c>
      <c r="L37" s="3">
        <f>187403617/10^8</f>
        <v>1.8740361699999999</v>
      </c>
      <c r="M37" s="3">
        <f>657772066/10^8</f>
        <v>6.5777206599999998</v>
      </c>
      <c r="N37" s="5"/>
    </row>
    <row r="38" spans="1:14" x14ac:dyDescent="0.3">
      <c r="A38" s="7">
        <v>44627.375</v>
      </c>
      <c r="B38" s="7">
        <v>44627.385416666664</v>
      </c>
      <c r="C38" s="3">
        <f>16437297/10^5</f>
        <v>164.37297000000001</v>
      </c>
      <c r="D38" s="3">
        <f>4564274/10^5</f>
        <v>45.642740000000003</v>
      </c>
      <c r="E38" s="3"/>
      <c r="F38" s="3"/>
      <c r="G38" s="3">
        <f>11873023/10^5</f>
        <v>118.73023000000001</v>
      </c>
      <c r="H38" s="3">
        <f>3471439559/10^7</f>
        <v>347.14395589999998</v>
      </c>
      <c r="I38" s="3">
        <f t="shared" si="1"/>
        <v>346.2</v>
      </c>
      <c r="J38" s="3">
        <f t="shared" si="2"/>
        <v>184.62</v>
      </c>
      <c r="K38" s="3">
        <f>493164898/10^8</f>
        <v>4.9316489800000003</v>
      </c>
      <c r="L38" s="3">
        <f>229194339/10^8</f>
        <v>2.2919433900000001</v>
      </c>
      <c r="M38" s="3">
        <f>464275187/10^8</f>
        <v>4.6427518699999997</v>
      </c>
      <c r="N38" s="5"/>
    </row>
    <row r="39" spans="1:14" x14ac:dyDescent="0.3">
      <c r="A39" s="7">
        <v>44627.385416666664</v>
      </c>
      <c r="B39" s="7">
        <v>44627.395833333336</v>
      </c>
      <c r="C39" s="3">
        <f>17071467/10^5</f>
        <v>170.71467000000001</v>
      </c>
      <c r="D39" s="3">
        <f>649524/10^4</f>
        <v>64.952399999999997</v>
      </c>
      <c r="E39" s="3"/>
      <c r="F39" s="3"/>
      <c r="G39" s="3">
        <f>10576227/10^5</f>
        <v>105.76227</v>
      </c>
      <c r="H39" s="3">
        <f>3462815778/10^7</f>
        <v>346.28157779999998</v>
      </c>
      <c r="I39" s="3">
        <f t="shared" si="1"/>
        <v>346.2</v>
      </c>
      <c r="J39" s="3">
        <f t="shared" si="2"/>
        <v>184.62</v>
      </c>
      <c r="K39" s="3">
        <f>454728074/10^8</f>
        <v>4.5472807399999997</v>
      </c>
      <c r="L39" s="3">
        <f>222598262/10^8</f>
        <v>2.2259826199999999</v>
      </c>
      <c r="M39" s="3">
        <f>807815011/10^8</f>
        <v>8.0781501099999993</v>
      </c>
      <c r="N39" s="5"/>
    </row>
    <row r="40" spans="1:14" x14ac:dyDescent="0.3">
      <c r="A40" s="7">
        <v>44627.395833333336</v>
      </c>
      <c r="B40" s="7">
        <v>44627.40625</v>
      </c>
      <c r="C40" s="3">
        <f>14476545/10^5</f>
        <v>144.76544999999999</v>
      </c>
      <c r="D40" s="3">
        <f>7127807/10^5</f>
        <v>71.27807</v>
      </c>
      <c r="E40" s="3"/>
      <c r="F40" s="3"/>
      <c r="G40" s="3">
        <f>7348738/10^5</f>
        <v>73.487380000000002</v>
      </c>
      <c r="H40" s="3">
        <f>3462340435/10^7</f>
        <v>346.23404349999998</v>
      </c>
      <c r="I40" s="3">
        <f t="shared" si="1"/>
        <v>346.2</v>
      </c>
      <c r="J40" s="3">
        <f t="shared" si="2"/>
        <v>184.62</v>
      </c>
      <c r="K40" s="3">
        <f>460184691/10^8</f>
        <v>4.6018469099999999</v>
      </c>
      <c r="L40" s="3">
        <f>213368444/10^8</f>
        <v>2.1336844400000001</v>
      </c>
      <c r="M40" s="3">
        <f>84131382/10^7</f>
        <v>8.4131382000000006</v>
      </c>
      <c r="N40" s="5"/>
    </row>
    <row r="41" spans="1:14" x14ac:dyDescent="0.3">
      <c r="A41" s="7">
        <v>44627.40625</v>
      </c>
      <c r="B41" s="7">
        <v>44627.416666666664</v>
      </c>
      <c r="C41" s="3">
        <f>13015734/10^5</f>
        <v>130.15734</v>
      </c>
      <c r="D41" s="3">
        <f>7710147/10^5</f>
        <v>77.101470000000006</v>
      </c>
      <c r="E41" s="3"/>
      <c r="F41" s="3"/>
      <c r="G41" s="3">
        <f>5305587/10^5</f>
        <v>53.055869999999999</v>
      </c>
      <c r="H41" s="3">
        <f>3463924553/10^7</f>
        <v>346.39245529999999</v>
      </c>
      <c r="I41" s="3">
        <f t="shared" si="1"/>
        <v>346.2</v>
      </c>
      <c r="J41" s="3">
        <f t="shared" si="2"/>
        <v>184.62</v>
      </c>
      <c r="K41" s="3">
        <f>423510543/10^8</f>
        <v>4.2351054299999999</v>
      </c>
      <c r="L41" s="3">
        <f>211852705/10^8</f>
        <v>2.11852705</v>
      </c>
      <c r="M41" s="3">
        <f>971401326/10^8</f>
        <v>9.7140132599999998</v>
      </c>
      <c r="N41" s="5"/>
    </row>
    <row r="42" spans="1:14" x14ac:dyDescent="0.3">
      <c r="A42" s="7">
        <v>44627.416666666664</v>
      </c>
      <c r="B42" s="7">
        <v>44627.427083333336</v>
      </c>
      <c r="C42" s="3">
        <f>12746995/10^5</f>
        <v>127.46995</v>
      </c>
      <c r="D42" s="3">
        <f>5423932/10^5</f>
        <v>54.239319999999999</v>
      </c>
      <c r="E42" s="3"/>
      <c r="F42" s="3"/>
      <c r="G42" s="3">
        <f>7323063/10^5</f>
        <v>73.230630000000005</v>
      </c>
      <c r="H42" s="3">
        <f>2945325528/10^7</f>
        <v>294.53255280000002</v>
      </c>
      <c r="I42" s="3">
        <f>28917/10^2</f>
        <v>289.17</v>
      </c>
      <c r="J42" s="3">
        <f t="shared" si="2"/>
        <v>184.62</v>
      </c>
      <c r="K42" s="3">
        <f>460576891/10^8</f>
        <v>4.6057689100000001</v>
      </c>
      <c r="L42" s="3">
        <f>160340916/10^8</f>
        <v>1.60340916</v>
      </c>
      <c r="M42" s="3">
        <f>-182728644/10^8</f>
        <v>-1.82728644</v>
      </c>
      <c r="N42" s="5"/>
    </row>
    <row r="43" spans="1:14" x14ac:dyDescent="0.3">
      <c r="A43" s="7">
        <v>44627.427083333336</v>
      </c>
      <c r="B43" s="7">
        <v>44627.4375</v>
      </c>
      <c r="C43" s="3">
        <f>13581863/10^5</f>
        <v>135.81863000000001</v>
      </c>
      <c r="D43" s="3">
        <f>4915669/10^5</f>
        <v>49.156689999999998</v>
      </c>
      <c r="E43" s="3"/>
      <c r="F43" s="3"/>
      <c r="G43" s="3">
        <f>8666194/10^5</f>
        <v>86.661940000000001</v>
      </c>
      <c r="H43" s="3">
        <f>2622142074/10^7</f>
        <v>262.21420740000002</v>
      </c>
      <c r="I43" s="3">
        <f>25301/10^2</f>
        <v>253.01</v>
      </c>
      <c r="J43" s="3">
        <f t="shared" si="2"/>
        <v>184.62</v>
      </c>
      <c r="K43" s="3">
        <f>468182893/10^8</f>
        <v>4.68182893</v>
      </c>
      <c r="L43" s="3">
        <f>159057102/10^8</f>
        <v>1.5905710200000001</v>
      </c>
      <c r="M43" s="3">
        <f>147309582/10^8</f>
        <v>1.4730958199999999</v>
      </c>
      <c r="N43" s="5"/>
    </row>
    <row r="44" spans="1:14" x14ac:dyDescent="0.3">
      <c r="A44" s="7">
        <v>44627.4375</v>
      </c>
      <c r="B44" s="7">
        <v>44627.447916666664</v>
      </c>
      <c r="C44" s="3">
        <f>12336373/10^5</f>
        <v>123.36373</v>
      </c>
      <c r="D44" s="3">
        <f>481961/10^4</f>
        <v>48.196100000000001</v>
      </c>
      <c r="E44" s="3"/>
      <c r="F44" s="3"/>
      <c r="G44" s="3">
        <f>7516763/10^5</f>
        <v>75.167630000000003</v>
      </c>
      <c r="H44" s="3">
        <f>2615984971/10^7</f>
        <v>261.59849709999997</v>
      </c>
      <c r="I44" s="3">
        <f>255/10^0</f>
        <v>255</v>
      </c>
      <c r="J44" s="3">
        <f t="shared" si="2"/>
        <v>184.62</v>
      </c>
      <c r="K44" s="3">
        <f>455464193/10^8</f>
        <v>4.5546419299999998</v>
      </c>
      <c r="L44" s="3">
        <f>15799112/10^7</f>
        <v>1.5799112</v>
      </c>
      <c r="M44" s="3">
        <f>71938481/10^8</f>
        <v>0.71938480999999999</v>
      </c>
      <c r="N44" s="5"/>
    </row>
    <row r="45" spans="1:14" x14ac:dyDescent="0.3">
      <c r="A45" s="7">
        <v>44627.447916666664</v>
      </c>
      <c r="B45" s="7">
        <v>44627.458333333336</v>
      </c>
      <c r="C45" s="3">
        <f>9316844/10^5</f>
        <v>93.168440000000004</v>
      </c>
      <c r="D45" s="3">
        <f>5720377/10^5</f>
        <v>57.203769999999999</v>
      </c>
      <c r="E45" s="3"/>
      <c r="F45" s="3"/>
      <c r="G45" s="3">
        <f>3596467/10^5</f>
        <v>35.964669999999998</v>
      </c>
      <c r="H45" s="3">
        <f>2565213137/10^7</f>
        <v>256.52131370000001</v>
      </c>
      <c r="I45" s="3">
        <f>255/10^0</f>
        <v>255</v>
      </c>
      <c r="J45" s="3">
        <f t="shared" si="2"/>
        <v>184.62</v>
      </c>
      <c r="K45" s="3">
        <f>431618836/10^8</f>
        <v>4.3161883599999999</v>
      </c>
      <c r="L45" s="3">
        <f>158798194/10^8</f>
        <v>1.5879819399999999</v>
      </c>
      <c r="M45" s="3">
        <f>-126395601/10^8</f>
        <v>-1.26395601</v>
      </c>
      <c r="N45" s="5"/>
    </row>
    <row r="46" spans="1:14" x14ac:dyDescent="0.3">
      <c r="A46" s="7">
        <v>44627.458333333336</v>
      </c>
      <c r="B46" s="7">
        <v>44627.46875</v>
      </c>
      <c r="C46" s="3">
        <f>16030855/10^5</f>
        <v>160.30855</v>
      </c>
      <c r="D46" s="3">
        <f>5624781/10^5</f>
        <v>56.247810000000001</v>
      </c>
      <c r="E46" s="3"/>
      <c r="F46" s="3"/>
      <c r="G46" s="3">
        <f>10406074/10^5</f>
        <v>104.06074</v>
      </c>
      <c r="H46" s="3">
        <f>2845955535/10^7</f>
        <v>284.59555349999999</v>
      </c>
      <c r="I46" s="3">
        <f>28433/10^2</f>
        <v>284.33</v>
      </c>
      <c r="J46" s="3">
        <f t="shared" si="2"/>
        <v>184.62</v>
      </c>
      <c r="K46" s="3">
        <f>417518196/10^8</f>
        <v>4.1751819599999997</v>
      </c>
      <c r="L46" s="3">
        <f>131480439/10^8</f>
        <v>1.3148043899999999</v>
      </c>
      <c r="M46" s="3">
        <f>555808798/10^8</f>
        <v>5.5580879799999998</v>
      </c>
      <c r="N46" s="5"/>
    </row>
    <row r="47" spans="1:14" x14ac:dyDescent="0.3">
      <c r="A47" s="7">
        <v>44627.46875</v>
      </c>
      <c r="B47" s="7">
        <v>44627.479166666664</v>
      </c>
      <c r="C47" s="3">
        <f>13903171/10^5</f>
        <v>139.03171</v>
      </c>
      <c r="D47" s="3">
        <f>5584589/10^5</f>
        <v>55.845889999999997</v>
      </c>
      <c r="E47" s="3"/>
      <c r="F47" s="3"/>
      <c r="G47" s="3">
        <f>8318582/10^5</f>
        <v>83.185820000000007</v>
      </c>
      <c r="H47" s="3">
        <f>2844527324/10^7</f>
        <v>284.4527324</v>
      </c>
      <c r="I47" s="3">
        <f>28433/10^2</f>
        <v>284.33</v>
      </c>
      <c r="J47" s="3">
        <f t="shared" si="2"/>
        <v>184.62</v>
      </c>
      <c r="K47" s="3">
        <f>415488665/10^8</f>
        <v>4.1548866499999999</v>
      </c>
      <c r="L47" s="3">
        <f>132584954/10^8</f>
        <v>1.3258495400000001</v>
      </c>
      <c r="M47" s="3">
        <f>490409865/10^8</f>
        <v>4.9040986499999999</v>
      </c>
      <c r="N47" s="5"/>
    </row>
    <row r="48" spans="1:14" x14ac:dyDescent="0.3">
      <c r="A48" s="7">
        <v>44627.479166666664</v>
      </c>
      <c r="B48" s="7">
        <v>44627.489583333336</v>
      </c>
      <c r="C48" s="3">
        <f>12998908/10^5</f>
        <v>129.98908</v>
      </c>
      <c r="D48" s="3">
        <f>4470142/10^5</f>
        <v>44.701419999999999</v>
      </c>
      <c r="E48" s="3"/>
      <c r="F48" s="3"/>
      <c r="G48" s="3">
        <f>8528766/10^5</f>
        <v>85.287660000000002</v>
      </c>
      <c r="H48" s="3">
        <f>2856523549/10^7</f>
        <v>285.65235489999998</v>
      </c>
      <c r="I48" s="3">
        <f>28432/10^2</f>
        <v>284.32</v>
      </c>
      <c r="J48" s="3">
        <f t="shared" si="2"/>
        <v>184.62</v>
      </c>
      <c r="K48" s="3">
        <f>416645713/10^8</f>
        <v>4.1664571300000004</v>
      </c>
      <c r="L48" s="3">
        <f>142606931/10^8</f>
        <v>1.4260693099999999</v>
      </c>
      <c r="M48" s="3">
        <f>319275975/10^8</f>
        <v>3.19275975</v>
      </c>
      <c r="N48" s="5"/>
    </row>
    <row r="49" spans="1:14" x14ac:dyDescent="0.3">
      <c r="A49" s="7">
        <v>44627.489583333336</v>
      </c>
      <c r="B49" s="7">
        <v>44627.5</v>
      </c>
      <c r="C49" s="3">
        <f>12224964/10^5</f>
        <v>122.24964</v>
      </c>
      <c r="D49" s="3">
        <f>5629999/10^5</f>
        <v>56.299990000000001</v>
      </c>
      <c r="E49" s="3"/>
      <c r="F49" s="3"/>
      <c r="G49" s="3">
        <f>6594965/10^5</f>
        <v>65.949650000000005</v>
      </c>
      <c r="H49" s="3">
        <f>2843875339/10^7</f>
        <v>284.38753389999999</v>
      </c>
      <c r="I49" s="3">
        <f>28432/10^2</f>
        <v>284.32</v>
      </c>
      <c r="J49" s="3">
        <f t="shared" si="2"/>
        <v>184.62</v>
      </c>
      <c r="K49" s="3">
        <f>440971639/10^8</f>
        <v>4.4097163899999998</v>
      </c>
      <c r="L49" s="3">
        <f>144220954/10^8</f>
        <v>1.4422095399999999</v>
      </c>
      <c r="M49" s="3">
        <f>530234449/10^8</f>
        <v>5.3023444900000003</v>
      </c>
      <c r="N49" s="5"/>
    </row>
    <row r="50" spans="1:14" x14ac:dyDescent="0.3">
      <c r="A50" s="7">
        <v>44627.5</v>
      </c>
      <c r="B50" s="7">
        <v>44627.510416666664</v>
      </c>
      <c r="C50" s="3">
        <f>17890472/10^5</f>
        <v>178.90472</v>
      </c>
      <c r="D50" s="3">
        <f>6324735/10^5</f>
        <v>63.247349999999997</v>
      </c>
      <c r="E50" s="3"/>
      <c r="F50" s="3"/>
      <c r="G50" s="3">
        <f>11565737/10^5</f>
        <v>115.65737</v>
      </c>
      <c r="H50" s="3">
        <f>2940664896/10^7</f>
        <v>294.06648960000001</v>
      </c>
      <c r="I50" s="3">
        <f>28876/10^2</f>
        <v>288.76</v>
      </c>
      <c r="J50" s="3">
        <f t="shared" si="2"/>
        <v>184.62</v>
      </c>
      <c r="K50" s="3">
        <f>49358413/10^7</f>
        <v>4.9358412999999999</v>
      </c>
      <c r="L50" s="3">
        <f>157499035/10^8</f>
        <v>1.57499035</v>
      </c>
      <c r="M50" s="3">
        <f>497521893/10^8</f>
        <v>4.9752189299999996</v>
      </c>
      <c r="N50" s="5"/>
    </row>
    <row r="51" spans="1:14" x14ac:dyDescent="0.3">
      <c r="A51" s="7">
        <v>44627.510416666664</v>
      </c>
      <c r="B51" s="7">
        <v>44627.520833333336</v>
      </c>
      <c r="C51" s="3">
        <f>15320091/10^5</f>
        <v>153.20090999999999</v>
      </c>
      <c r="D51" s="3">
        <f>6920756/10^5</f>
        <v>69.207560000000001</v>
      </c>
      <c r="E51" s="3"/>
      <c r="F51" s="3"/>
      <c r="G51" s="3">
        <f>8399335/10^5</f>
        <v>83.993350000000007</v>
      </c>
      <c r="H51" s="3">
        <f>289076979/10^6</f>
        <v>289.07697899999999</v>
      </c>
      <c r="I51" s="3">
        <f>28876/10^2</f>
        <v>288.76</v>
      </c>
      <c r="J51" s="3">
        <f t="shared" si="2"/>
        <v>184.62</v>
      </c>
      <c r="K51" s="3">
        <f>480612439/10^8</f>
        <v>4.8061243899999999</v>
      </c>
      <c r="L51" s="3">
        <f>16065145/10^7</f>
        <v>1.6065145000000001</v>
      </c>
      <c r="M51" s="3">
        <f>691008757/10^8</f>
        <v>6.91008757</v>
      </c>
      <c r="N51" s="5"/>
    </row>
    <row r="52" spans="1:14" x14ac:dyDescent="0.3">
      <c r="A52" s="7">
        <v>44627.520833333336</v>
      </c>
      <c r="B52" s="7">
        <v>44627.53125</v>
      </c>
      <c r="C52" s="3">
        <f>12390103/10^5</f>
        <v>123.90103000000001</v>
      </c>
      <c r="D52" s="3">
        <f>5891099/10^5</f>
        <v>58.910989999999998</v>
      </c>
      <c r="E52" s="3"/>
      <c r="F52" s="3"/>
      <c r="G52" s="3">
        <f>6499004/10^5</f>
        <v>64.990039999999993</v>
      </c>
      <c r="H52" s="3">
        <f>2870450666/10^7</f>
        <v>287.04506659999998</v>
      </c>
      <c r="I52" s="3">
        <f>28436/10^2</f>
        <v>284.36</v>
      </c>
      <c r="J52" s="3">
        <f t="shared" si="2"/>
        <v>184.62</v>
      </c>
      <c r="K52" s="3">
        <f>452814209/10^8</f>
        <v>4.5281420900000002</v>
      </c>
      <c r="L52" s="3">
        <f>170442629/10^8</f>
        <v>1.70442629</v>
      </c>
      <c r="M52" s="3">
        <f>44892815/10^7</f>
        <v>4.4892814999999997</v>
      </c>
      <c r="N52" s="5"/>
    </row>
    <row r="53" spans="1:14" x14ac:dyDescent="0.3">
      <c r="A53" s="7">
        <v>44627.53125</v>
      </c>
      <c r="B53" s="7">
        <v>44627.541666666664</v>
      </c>
      <c r="C53" s="3">
        <f>11071647/10^5</f>
        <v>110.71647</v>
      </c>
      <c r="D53" s="3">
        <f>7535985/10^5</f>
        <v>75.359849999999994</v>
      </c>
      <c r="E53" s="3"/>
      <c r="F53" s="3"/>
      <c r="G53" s="3">
        <f>3535662/10^5</f>
        <v>35.356619999999999</v>
      </c>
      <c r="H53" s="3">
        <f>2847130145/10^7</f>
        <v>284.71301449999999</v>
      </c>
      <c r="I53" s="3">
        <f>28436/10^2</f>
        <v>284.36</v>
      </c>
      <c r="J53" s="3">
        <f t="shared" si="2"/>
        <v>184.62</v>
      </c>
      <c r="K53" s="3">
        <f>461534738/10^8</f>
        <v>4.6153473800000002</v>
      </c>
      <c r="L53" s="3">
        <f>173799889/10^8</f>
        <v>1.7379988900000001</v>
      </c>
      <c r="M53" s="3">
        <f>530030471/10^8</f>
        <v>5.3003047099999998</v>
      </c>
      <c r="N53" s="5"/>
    </row>
    <row r="54" spans="1:14" x14ac:dyDescent="0.3">
      <c r="A54" s="7">
        <v>44627.541666666664</v>
      </c>
      <c r="B54" s="7">
        <v>44627.552083333336</v>
      </c>
      <c r="C54" s="3">
        <f>14007324/10^5</f>
        <v>140.07324</v>
      </c>
      <c r="D54" s="3">
        <f>5034079/10^5</f>
        <v>50.340789999999998</v>
      </c>
      <c r="E54" s="3"/>
      <c r="F54" s="3"/>
      <c r="G54" s="3">
        <f>8973245/10^5</f>
        <v>89.73245</v>
      </c>
      <c r="H54" s="3">
        <f>2845664346/10^7</f>
        <v>284.56643459999998</v>
      </c>
      <c r="I54" s="3">
        <f>28435/10^2</f>
        <v>284.35000000000002</v>
      </c>
      <c r="J54" s="3">
        <f>9102/10^2</f>
        <v>91.02</v>
      </c>
      <c r="K54" s="3">
        <f>305488694/10^8</f>
        <v>3.0548869399999998</v>
      </c>
      <c r="L54" s="3">
        <f>147917604/10^8</f>
        <v>1.47917604</v>
      </c>
      <c r="M54" s="3">
        <f>749951886/10^8</f>
        <v>7.4995188600000002</v>
      </c>
      <c r="N54" s="5"/>
    </row>
    <row r="55" spans="1:14" x14ac:dyDescent="0.3">
      <c r="A55" s="7">
        <v>44627.552083333336</v>
      </c>
      <c r="B55" s="7">
        <v>44627.5625</v>
      </c>
      <c r="C55" s="3">
        <f>15027795/10^5</f>
        <v>150.27795</v>
      </c>
      <c r="D55" s="3">
        <f>5882475/10^5</f>
        <v>58.824750000000002</v>
      </c>
      <c r="E55" s="3"/>
      <c r="F55" s="3"/>
      <c r="G55" s="3">
        <f>914532/10^4</f>
        <v>91.453199999999995</v>
      </c>
      <c r="H55" s="3">
        <f>285306596/10^6</f>
        <v>285.30659600000001</v>
      </c>
      <c r="I55" s="3">
        <f>28435/10^2</f>
        <v>284.35000000000002</v>
      </c>
      <c r="J55" s="3">
        <f>9102/10^2</f>
        <v>91.02</v>
      </c>
      <c r="K55" s="3">
        <f>297516611/10^8</f>
        <v>2.97516611</v>
      </c>
      <c r="L55" s="3">
        <f>151612813/10^8</f>
        <v>1.51612813</v>
      </c>
      <c r="M55" s="3">
        <f>88140632/10^7</f>
        <v>8.8140631999999997</v>
      </c>
      <c r="N55" s="5"/>
    </row>
    <row r="56" spans="1:14" x14ac:dyDescent="0.3">
      <c r="A56" s="7">
        <v>44627.5625</v>
      </c>
      <c r="B56" s="7">
        <v>44627.572916666664</v>
      </c>
      <c r="C56" s="3">
        <f>16259369/10^5</f>
        <v>162.59369000000001</v>
      </c>
      <c r="D56" s="3">
        <f>4414964/10^5</f>
        <v>44.149639999999998</v>
      </c>
      <c r="E56" s="3"/>
      <c r="F56" s="3"/>
      <c r="G56" s="3">
        <f>11844405/10^5</f>
        <v>118.44405</v>
      </c>
      <c r="H56" s="3">
        <f>2862277693/10^7</f>
        <v>286.22776929999998</v>
      </c>
      <c r="I56" s="3">
        <f>28434/10^2</f>
        <v>284.33999999999997</v>
      </c>
      <c r="J56" s="3">
        <f>9102/10^2</f>
        <v>91.02</v>
      </c>
      <c r="K56" s="3">
        <f>337011995/10^8</f>
        <v>3.3701199499999999</v>
      </c>
      <c r="L56" s="3">
        <f>157182313/10^8</f>
        <v>1.5718231300000001</v>
      </c>
      <c r="M56" s="3">
        <f>638731218/10^8</f>
        <v>6.3873121800000003</v>
      </c>
      <c r="N56" s="5"/>
    </row>
    <row r="57" spans="1:14" x14ac:dyDescent="0.3">
      <c r="A57" s="7">
        <v>44627.572916666664</v>
      </c>
      <c r="B57" s="7">
        <v>44627.583333333336</v>
      </c>
      <c r="C57" s="3">
        <f>16508089/10^5</f>
        <v>165.08089000000001</v>
      </c>
      <c r="D57" s="3">
        <f>4534783/10^5</f>
        <v>45.347830000000002</v>
      </c>
      <c r="E57" s="3"/>
      <c r="F57" s="3"/>
      <c r="G57" s="3">
        <f>11973306/10^5</f>
        <v>119.73305999999999</v>
      </c>
      <c r="H57" s="3">
        <f>285138772/10^6</f>
        <v>285.13877200000002</v>
      </c>
      <c r="I57" s="3">
        <f>28434/10^2</f>
        <v>284.33999999999997</v>
      </c>
      <c r="J57" s="3">
        <f>9102/10^2</f>
        <v>91.02</v>
      </c>
      <c r="K57" s="3">
        <f>30604857/10^7</f>
        <v>3.0604857000000001</v>
      </c>
      <c r="L57" s="3">
        <f>151714142/10^8</f>
        <v>1.51714142</v>
      </c>
      <c r="M57" s="3">
        <f>53400093/10^7</f>
        <v>5.3400093000000002</v>
      </c>
      <c r="N57" s="5"/>
    </row>
    <row r="58" spans="1:14" x14ac:dyDescent="0.3">
      <c r="A58" s="7">
        <v>44627.583333333336</v>
      </c>
      <c r="B58" s="7">
        <v>44627.59375</v>
      </c>
      <c r="C58" s="3">
        <f>11996114/10^5</f>
        <v>119.96114</v>
      </c>
      <c r="D58" s="3">
        <f>6931605/10^5</f>
        <v>69.316050000000004</v>
      </c>
      <c r="E58" s="3"/>
      <c r="F58" s="3"/>
      <c r="G58" s="3">
        <f>5064509/10^5</f>
        <v>50.645090000000003</v>
      </c>
      <c r="H58" s="3">
        <f>2868394489/10^7</f>
        <v>286.83944889999998</v>
      </c>
      <c r="I58" s="3">
        <f>28432/10^2</f>
        <v>284.32</v>
      </c>
      <c r="J58" s="3">
        <f>157/10^0</f>
        <v>157</v>
      </c>
      <c r="K58" s="3">
        <f>531532421/10^8</f>
        <v>5.31532421</v>
      </c>
      <c r="L58" s="3">
        <f>173953282/10^8</f>
        <v>1.73953282</v>
      </c>
      <c r="M58" s="3">
        <f>856487478/10^8</f>
        <v>8.5648747800000002</v>
      </c>
      <c r="N58" s="5"/>
    </row>
    <row r="59" spans="1:14" x14ac:dyDescent="0.3">
      <c r="A59" s="7">
        <v>44627.59375</v>
      </c>
      <c r="B59" s="7">
        <v>44627.604166666664</v>
      </c>
      <c r="C59" s="3">
        <f>1194799/10^4</f>
        <v>119.4799</v>
      </c>
      <c r="D59" s="3">
        <f>2919707/10^5</f>
        <v>29.19707</v>
      </c>
      <c r="E59" s="3"/>
      <c r="F59" s="3"/>
      <c r="G59" s="3">
        <f>9028283/10^5</f>
        <v>90.282830000000004</v>
      </c>
      <c r="H59" s="3">
        <f>286798561/10^6</f>
        <v>286.79856100000001</v>
      </c>
      <c r="I59" s="3">
        <f>28432/10^2</f>
        <v>284.32</v>
      </c>
      <c r="J59" s="3">
        <f>167/10^0</f>
        <v>167</v>
      </c>
      <c r="K59" s="3">
        <f>517254745/10^8</f>
        <v>5.1725474499999997</v>
      </c>
      <c r="L59" s="3">
        <f>171598757/10^8</f>
        <v>1.71598757</v>
      </c>
      <c r="M59" s="3">
        <f>263176253/10^8</f>
        <v>2.63176253</v>
      </c>
      <c r="N59" s="5"/>
    </row>
    <row r="60" spans="1:14" x14ac:dyDescent="0.3">
      <c r="A60" s="7">
        <v>44627.604166666664</v>
      </c>
      <c r="B60" s="7">
        <v>44627.614583333336</v>
      </c>
      <c r="C60" s="3">
        <f>15997098/10^5</f>
        <v>159.97098</v>
      </c>
      <c r="D60" s="3">
        <f>4273789/10^5</f>
        <v>42.73789</v>
      </c>
      <c r="E60" s="3"/>
      <c r="F60" s="3"/>
      <c r="G60" s="3">
        <f>11723309/10^5</f>
        <v>117.23309</v>
      </c>
      <c r="H60" s="3">
        <f>2872211913/10^7</f>
        <v>287.22119129999999</v>
      </c>
      <c r="I60" s="3">
        <f>28436/10^2</f>
        <v>284.36</v>
      </c>
      <c r="J60" s="3">
        <f>18462/10^2</f>
        <v>184.62</v>
      </c>
      <c r="K60" s="3">
        <f>530120328/10^8</f>
        <v>5.3012032800000002</v>
      </c>
      <c r="L60" s="3">
        <f>132442155/10^8</f>
        <v>1.3244215500000001</v>
      </c>
      <c r="M60" s="3">
        <f>372171854/10^8</f>
        <v>3.7217185399999999</v>
      </c>
      <c r="N60" s="5"/>
    </row>
    <row r="61" spans="1:14" x14ac:dyDescent="0.3">
      <c r="A61" s="7">
        <v>44627.614583333336</v>
      </c>
      <c r="B61" s="7">
        <v>44627.625</v>
      </c>
      <c r="C61" s="3">
        <f>18732117/10^5</f>
        <v>187.32117</v>
      </c>
      <c r="D61" s="3">
        <f>4318518/10^5</f>
        <v>43.185180000000003</v>
      </c>
      <c r="E61" s="3"/>
      <c r="F61" s="3"/>
      <c r="G61" s="3">
        <f>14413599/10^5</f>
        <v>144.13598999999999</v>
      </c>
      <c r="H61" s="3">
        <f>2878477122/10^7</f>
        <v>287.84771219999999</v>
      </c>
      <c r="I61" s="3">
        <f>28436/10^2</f>
        <v>284.36</v>
      </c>
      <c r="J61" s="3">
        <f>18462/10^2</f>
        <v>184.62</v>
      </c>
      <c r="K61" s="3">
        <f>546667024/10^8</f>
        <v>5.46667024</v>
      </c>
      <c r="L61" s="3">
        <f>131785507/10^8</f>
        <v>1.31785507</v>
      </c>
      <c r="M61" s="3">
        <f>308206487/10^8</f>
        <v>3.08206487</v>
      </c>
      <c r="N61" s="5"/>
    </row>
    <row r="62" spans="1:14" x14ac:dyDescent="0.3">
      <c r="A62" s="7">
        <v>44627.625</v>
      </c>
      <c r="B62" s="7">
        <v>44627.635416666664</v>
      </c>
      <c r="C62" s="3">
        <f>11479451/10^5</f>
        <v>114.79451</v>
      </c>
      <c r="D62" s="3">
        <f>999725/10^4</f>
        <v>99.972499999999997</v>
      </c>
      <c r="E62" s="3"/>
      <c r="F62" s="3"/>
      <c r="G62" s="3">
        <f>1482201/10^5</f>
        <v>14.822010000000001</v>
      </c>
      <c r="H62" s="3">
        <f>2917827449/10^7</f>
        <v>291.78274490000001</v>
      </c>
      <c r="I62" s="3">
        <f>2892/10^1</f>
        <v>289.2</v>
      </c>
      <c r="J62" s="3">
        <f>18422/10^2</f>
        <v>184.22</v>
      </c>
      <c r="K62" s="3">
        <f>550824481/10^8</f>
        <v>5.5082448099999999</v>
      </c>
      <c r="L62" s="3">
        <f>232203348/10^8</f>
        <v>2.32203348</v>
      </c>
      <c r="M62" s="3">
        <f>741658946/10^8</f>
        <v>7.41658946</v>
      </c>
      <c r="N62" s="5"/>
    </row>
    <row r="63" spans="1:14" x14ac:dyDescent="0.3">
      <c r="A63" s="7">
        <v>44627.635416666664</v>
      </c>
      <c r="B63" s="7">
        <v>44627.645833333336</v>
      </c>
      <c r="C63" s="3">
        <f>1482337/10^4</f>
        <v>148.2337</v>
      </c>
      <c r="D63" s="3">
        <f>6648401/10^5</f>
        <v>66.484009999999998</v>
      </c>
      <c r="E63" s="3"/>
      <c r="F63" s="3"/>
      <c r="G63" s="3">
        <f>8174969/10^5</f>
        <v>81.749690000000001</v>
      </c>
      <c r="H63" s="3">
        <f>2971797371/10^7</f>
        <v>297.17973710000001</v>
      </c>
      <c r="I63" s="3">
        <f>2892/10^1</f>
        <v>289.2</v>
      </c>
      <c r="J63" s="3">
        <f>18462/10^2</f>
        <v>184.62</v>
      </c>
      <c r="K63" s="3">
        <f>575695246/10^8</f>
        <v>5.7569524599999999</v>
      </c>
      <c r="L63" s="3">
        <f>229732378/10^8</f>
        <v>2.2973237800000001</v>
      </c>
      <c r="M63" s="3">
        <f>548633216/10^8</f>
        <v>5.4863321599999999</v>
      </c>
      <c r="N63" s="5"/>
    </row>
    <row r="64" spans="1:14" x14ac:dyDescent="0.3">
      <c r="A64" s="7">
        <v>44627.645833333336</v>
      </c>
      <c r="B64" s="7">
        <v>44627.65625</v>
      </c>
      <c r="C64" s="3">
        <f>2003111/10^4</f>
        <v>200.31110000000001</v>
      </c>
      <c r="D64" s="3">
        <f>6276114/10^5</f>
        <v>62.761139999999997</v>
      </c>
      <c r="E64" s="3"/>
      <c r="F64" s="3"/>
      <c r="G64" s="3">
        <f>13754996/10^5</f>
        <v>137.54996</v>
      </c>
      <c r="H64" s="3">
        <f>2982054314/10^7</f>
        <v>298.20543140000001</v>
      </c>
      <c r="I64" s="3">
        <f>2892/10^1</f>
        <v>289.2</v>
      </c>
      <c r="J64" s="3">
        <f>18462/10^2</f>
        <v>184.62</v>
      </c>
      <c r="K64" s="3">
        <f>608670056/10^8</f>
        <v>6.0867005599999997</v>
      </c>
      <c r="L64" s="3">
        <f>152929678/10^8</f>
        <v>1.5292967799999999</v>
      </c>
      <c r="M64" s="3">
        <f>453880591/10^8</f>
        <v>4.5388059099999998</v>
      </c>
      <c r="N64" s="5"/>
    </row>
    <row r="65" spans="1:14" x14ac:dyDescent="0.3">
      <c r="A65" s="7">
        <v>44627.65625</v>
      </c>
      <c r="B65" s="7">
        <v>44627.666666666664</v>
      </c>
      <c r="C65" s="3">
        <f>25075345/10^5</f>
        <v>250.75344999999999</v>
      </c>
      <c r="D65" s="3">
        <f>6792282/10^5</f>
        <v>67.922820000000002</v>
      </c>
      <c r="E65" s="3"/>
      <c r="F65" s="3"/>
      <c r="G65" s="3">
        <f>18283063/10^5</f>
        <v>182.83063000000001</v>
      </c>
      <c r="H65" s="3">
        <f>3459220038/10^7</f>
        <v>345.92200380000003</v>
      </c>
      <c r="I65" s="3">
        <f>3454/10^1</f>
        <v>345.4</v>
      </c>
      <c r="J65" s="3">
        <f>13609/10^2</f>
        <v>136.09</v>
      </c>
      <c r="K65" s="3">
        <f>563928442/10^8</f>
        <v>5.6392844200000001</v>
      </c>
      <c r="L65" s="3">
        <f>144406007/10^8</f>
        <v>1.4440600699999999</v>
      </c>
      <c r="M65" s="3">
        <f>979483941/10^8</f>
        <v>9.7948394099999998</v>
      </c>
      <c r="N65" s="5"/>
    </row>
    <row r="66" spans="1:14" x14ac:dyDescent="0.3">
      <c r="A66" s="7">
        <v>44627.666666666664</v>
      </c>
      <c r="B66" s="7">
        <v>44627.677083333336</v>
      </c>
      <c r="C66" s="3">
        <f>11810257/10^5</f>
        <v>118.10257</v>
      </c>
      <c r="D66" s="3">
        <f>9100696/10^5</f>
        <v>91.006960000000007</v>
      </c>
      <c r="E66" s="3"/>
      <c r="F66" s="3"/>
      <c r="G66" s="3">
        <f>2709561/10^5</f>
        <v>27.095610000000001</v>
      </c>
      <c r="H66" s="3">
        <f>2924528963/10^7</f>
        <v>292.45289630000002</v>
      </c>
      <c r="I66" s="3">
        <f>27694/10^2</f>
        <v>276.94</v>
      </c>
      <c r="J66" s="3">
        <f>17329/10^2</f>
        <v>173.29</v>
      </c>
      <c r="K66" s="3">
        <f>735887798/10^8</f>
        <v>7.3588779799999999</v>
      </c>
      <c r="L66" s="3">
        <f>412629703/10^8</f>
        <v>4.1262970299999999</v>
      </c>
      <c r="M66" s="3">
        <f>893870409/10^8</f>
        <v>8.9387040899999999</v>
      </c>
      <c r="N66" s="5"/>
    </row>
    <row r="67" spans="1:14" x14ac:dyDescent="0.3">
      <c r="A67" s="7">
        <v>44627.677083333336</v>
      </c>
      <c r="B67" s="7">
        <v>44627.6875</v>
      </c>
      <c r="C67" s="3">
        <f>16122605/10^5</f>
        <v>161.22604999999999</v>
      </c>
      <c r="D67" s="3">
        <f>649013/10^4</f>
        <v>64.901300000000006</v>
      </c>
      <c r="E67" s="3"/>
      <c r="F67" s="3"/>
      <c r="G67" s="3">
        <f>9632475/10^5</f>
        <v>96.324749999999995</v>
      </c>
      <c r="H67" s="3">
        <f>3464677361/10^7</f>
        <v>346.46773610000002</v>
      </c>
      <c r="I67" s="3">
        <f>3462/10^1</f>
        <v>346.2</v>
      </c>
      <c r="J67" s="3">
        <f>18462/10^2</f>
        <v>184.62</v>
      </c>
      <c r="K67" s="3">
        <f>767352579/10^8</f>
        <v>7.6735257900000002</v>
      </c>
      <c r="L67" s="3">
        <f>400275928/10^8</f>
        <v>4.0027592800000003</v>
      </c>
      <c r="M67" s="3">
        <f>795841059/10^8</f>
        <v>7.9584105899999997</v>
      </c>
      <c r="N67" s="5"/>
    </row>
    <row r="68" spans="1:14" x14ac:dyDescent="0.3">
      <c r="A68" s="7">
        <v>44627.6875</v>
      </c>
      <c r="B68" s="7">
        <v>44627.697916666664</v>
      </c>
      <c r="C68" s="3">
        <f>21431412/10^5</f>
        <v>214.31412</v>
      </c>
      <c r="D68" s="3">
        <f>4129222/10^5</f>
        <v>41.29222</v>
      </c>
      <c r="E68" s="3"/>
      <c r="F68" s="3"/>
      <c r="G68" s="3">
        <f>1730219/10^4</f>
        <v>173.02189999999999</v>
      </c>
      <c r="H68" s="3">
        <f>3466631875/10^7</f>
        <v>346.66318749999999</v>
      </c>
      <c r="I68" s="3">
        <f>3462/10^1</f>
        <v>346.2</v>
      </c>
      <c r="J68" s="3">
        <f>18462/10^2</f>
        <v>184.62</v>
      </c>
      <c r="K68" s="3">
        <f>741489577/10^8</f>
        <v>7.4148957700000002</v>
      </c>
      <c r="L68" s="3">
        <f>620115671/10^8</f>
        <v>6.2011567100000002</v>
      </c>
      <c r="M68" s="3">
        <f>631033515/10^8</f>
        <v>6.3103351500000002</v>
      </c>
      <c r="N68" s="5"/>
    </row>
    <row r="69" spans="1:14" x14ac:dyDescent="0.3">
      <c r="A69" s="7">
        <v>44627.697916666664</v>
      </c>
      <c r="B69" s="7">
        <v>44627.708333333336</v>
      </c>
      <c r="C69" s="3">
        <f>24970155/10^5</f>
        <v>249.70155</v>
      </c>
      <c r="D69" s="3">
        <f>4707026/10^5</f>
        <v>47.070259999999998</v>
      </c>
      <c r="E69" s="3"/>
      <c r="F69" s="3"/>
      <c r="G69" s="3">
        <f>20263129/10^5</f>
        <v>202.63129000000001</v>
      </c>
      <c r="H69" s="3">
        <f>348205271/10^6</f>
        <v>348.20527099999998</v>
      </c>
      <c r="I69" s="3">
        <f>348/10^0</f>
        <v>348</v>
      </c>
      <c r="J69" s="3">
        <f>18462/10^2</f>
        <v>184.62</v>
      </c>
      <c r="K69" s="3">
        <f>758933116/10^8</f>
        <v>7.5893311600000004</v>
      </c>
      <c r="L69" s="3">
        <f>655936749/10^8</f>
        <v>6.5593674899999996</v>
      </c>
      <c r="M69" s="3">
        <f>609108292/10^8</f>
        <v>6.0910829199999998</v>
      </c>
      <c r="N69" s="5"/>
    </row>
    <row r="70" spans="1:14" x14ac:dyDescent="0.3">
      <c r="A70" s="7">
        <v>44627.708333333336</v>
      </c>
      <c r="B70" s="7">
        <v>44627.71875</v>
      </c>
      <c r="C70" s="3">
        <f>11221065/10^5</f>
        <v>112.21065</v>
      </c>
      <c r="D70" s="3">
        <f>7165128/10^5</f>
        <v>71.65128</v>
      </c>
      <c r="E70" s="3"/>
      <c r="F70" s="3"/>
      <c r="G70" s="3">
        <f>4055937/10^5</f>
        <v>40.559370000000001</v>
      </c>
      <c r="H70" s="3">
        <f>3462041634/10^7</f>
        <v>346.20416340000003</v>
      </c>
      <c r="I70" s="3">
        <f>3462/10^1</f>
        <v>346.2</v>
      </c>
      <c r="J70" s="3">
        <f>0/10^0</f>
        <v>0</v>
      </c>
      <c r="K70" s="3">
        <f>872018448/10^8</f>
        <v>8.7201844800000003</v>
      </c>
      <c r="L70" s="3">
        <f>1032614647/10^8</f>
        <v>10.326146469999999</v>
      </c>
      <c r="M70" s="3">
        <f>2864173504/10^8</f>
        <v>28.64173504</v>
      </c>
      <c r="N70" s="5"/>
    </row>
    <row r="71" spans="1:14" x14ac:dyDescent="0.3">
      <c r="A71" s="7">
        <v>44627.71875</v>
      </c>
      <c r="B71" s="7">
        <v>44627.729166666664</v>
      </c>
      <c r="C71" s="3">
        <f>12089657/10^5</f>
        <v>120.89657</v>
      </c>
      <c r="D71" s="3">
        <f>7061404/10^5</f>
        <v>70.614040000000003</v>
      </c>
      <c r="E71" s="3"/>
      <c r="F71" s="3"/>
      <c r="G71" s="3">
        <f>5028253/10^5</f>
        <v>50.282530000000001</v>
      </c>
      <c r="H71" s="3">
        <f>3462748725/10^7</f>
        <v>346.27487250000001</v>
      </c>
      <c r="I71" s="3">
        <f>3462/10^1</f>
        <v>346.2</v>
      </c>
      <c r="J71" s="3">
        <f t="shared" ref="J71:J79" si="3">17642/10^2</f>
        <v>176.42</v>
      </c>
      <c r="K71" s="3">
        <f>860340391/10^8</f>
        <v>8.6034039100000008</v>
      </c>
      <c r="L71" s="3">
        <f>973056959/10^8</f>
        <v>9.73056959</v>
      </c>
      <c r="M71" s="3">
        <f>682034906/10^8</f>
        <v>6.8203490599999999</v>
      </c>
      <c r="N71" s="5"/>
    </row>
    <row r="72" spans="1:14" x14ac:dyDescent="0.3">
      <c r="A72" s="7">
        <v>44627.729166666664</v>
      </c>
      <c r="B72" s="7">
        <v>44627.739583333336</v>
      </c>
      <c r="C72" s="3">
        <f>17407113/10^5</f>
        <v>174.07113000000001</v>
      </c>
      <c r="D72" s="3">
        <f>5375161/10^5</f>
        <v>53.751609999999999</v>
      </c>
      <c r="E72" s="3"/>
      <c r="F72" s="3"/>
      <c r="G72" s="3">
        <f>12031952/10^5</f>
        <v>120.31952</v>
      </c>
      <c r="H72" s="3">
        <f>3465849299/10^7</f>
        <v>346.58492990000002</v>
      </c>
      <c r="I72" s="3">
        <f>3462/10^1</f>
        <v>346.2</v>
      </c>
      <c r="J72" s="3">
        <f t="shared" si="3"/>
        <v>176.42</v>
      </c>
      <c r="K72" s="3">
        <f>836284354/10^8</f>
        <v>8.3628435400000001</v>
      </c>
      <c r="L72" s="3">
        <f>1177112845/10^8</f>
        <v>11.771128450000001</v>
      </c>
      <c r="M72" s="3">
        <f>820434265/10^8</f>
        <v>8.2043426499999992</v>
      </c>
      <c r="N72" s="5"/>
    </row>
    <row r="73" spans="1:14" x14ac:dyDescent="0.3">
      <c r="A73" s="7">
        <v>44627.739583333336</v>
      </c>
      <c r="B73" s="7">
        <v>44627.75</v>
      </c>
      <c r="C73" s="3">
        <f>23576924/10^5</f>
        <v>235.76924</v>
      </c>
      <c r="D73" s="3">
        <f>4720775/10^5</f>
        <v>47.207749999999997</v>
      </c>
      <c r="E73" s="3"/>
      <c r="F73" s="3"/>
      <c r="G73" s="3">
        <f>18856149/10^5</f>
        <v>188.56148999999999</v>
      </c>
      <c r="H73" s="3">
        <f>3468113213/10^7</f>
        <v>346.81132129999997</v>
      </c>
      <c r="I73" s="3">
        <f>3467/10^1</f>
        <v>346.7</v>
      </c>
      <c r="J73" s="3">
        <f t="shared" si="3"/>
        <v>176.42</v>
      </c>
      <c r="K73" s="3">
        <f>816702616/10^8</f>
        <v>8.1670261600000007</v>
      </c>
      <c r="L73" s="3">
        <f>1129413945/10^8</f>
        <v>11.294139449999999</v>
      </c>
      <c r="M73" s="3">
        <f>458499722/10^8</f>
        <v>4.58499722</v>
      </c>
      <c r="N73" s="5"/>
    </row>
    <row r="74" spans="1:14" x14ac:dyDescent="0.3">
      <c r="A74" s="7">
        <v>44627.75</v>
      </c>
      <c r="B74" s="7">
        <v>44627.760416666664</v>
      </c>
      <c r="C74" s="3">
        <f>14055802/10^5</f>
        <v>140.55802</v>
      </c>
      <c r="D74" s="3">
        <f>9876593/10^5</f>
        <v>98.765929999999997</v>
      </c>
      <c r="E74" s="3"/>
      <c r="F74" s="3"/>
      <c r="G74" s="3">
        <f>4179209/10^5</f>
        <v>41.792090000000002</v>
      </c>
      <c r="H74" s="3">
        <f>3893372819/10^7</f>
        <v>389.33728189999999</v>
      </c>
      <c r="I74" s="3">
        <f>32331/10^2</f>
        <v>323.31</v>
      </c>
      <c r="J74" s="3">
        <f t="shared" si="3"/>
        <v>176.42</v>
      </c>
      <c r="K74" s="3">
        <f>1135200735/10^8</f>
        <v>11.352007349999999</v>
      </c>
      <c r="L74" s="3">
        <f>2372626488/10^8</f>
        <v>23.726264879999999</v>
      </c>
      <c r="M74" s="3">
        <f>1424087769/10^8</f>
        <v>14.24087769</v>
      </c>
      <c r="N74" s="5"/>
    </row>
    <row r="75" spans="1:14" x14ac:dyDescent="0.3">
      <c r="A75" s="7">
        <v>44627.760416666664</v>
      </c>
      <c r="B75" s="7">
        <v>44627.770833333336</v>
      </c>
      <c r="C75" s="3">
        <f>15103066/10^5</f>
        <v>151.03066000000001</v>
      </c>
      <c r="D75" s="3">
        <f>7915317/10^5</f>
        <v>79.153170000000003</v>
      </c>
      <c r="E75" s="3"/>
      <c r="F75" s="3"/>
      <c r="G75" s="3">
        <f>7187749/10^5</f>
        <v>71.877489999999995</v>
      </c>
      <c r="H75" s="3">
        <f>4416407488/10^7</f>
        <v>441.64074879999998</v>
      </c>
      <c r="I75" s="3">
        <f>4415/10^1</f>
        <v>441.5</v>
      </c>
      <c r="J75" s="3">
        <f t="shared" si="3"/>
        <v>176.42</v>
      </c>
      <c r="K75" s="3">
        <f>1150577173/10^8</f>
        <v>11.505771729999999</v>
      </c>
      <c r="L75" s="3">
        <f>2344377776/10^8</f>
        <v>23.44377776</v>
      </c>
      <c r="M75" s="3">
        <f>1694079503/10^8</f>
        <v>16.94079503</v>
      </c>
      <c r="N75" s="5"/>
    </row>
    <row r="76" spans="1:14" x14ac:dyDescent="0.3">
      <c r="A76" s="7">
        <v>44627.770833333336</v>
      </c>
      <c r="B76" s="7">
        <v>44627.78125</v>
      </c>
      <c r="C76" s="3">
        <f>11284668/10^5</f>
        <v>112.84668000000001</v>
      </c>
      <c r="D76" s="3">
        <f>5915877/10^5</f>
        <v>59.158769999999997</v>
      </c>
      <c r="E76" s="3"/>
      <c r="F76" s="3"/>
      <c r="G76" s="3">
        <f>5368791/10^5</f>
        <v>53.687910000000002</v>
      </c>
      <c r="H76" s="3">
        <f>4414019687/10^7</f>
        <v>441.4019687</v>
      </c>
      <c r="I76" s="3">
        <f>4412/10^1</f>
        <v>441.2</v>
      </c>
      <c r="J76" s="3">
        <f t="shared" si="3"/>
        <v>176.42</v>
      </c>
      <c r="K76" s="3">
        <f>1181127018/10^8</f>
        <v>11.811270179999999</v>
      </c>
      <c r="L76" s="3">
        <f>1680900627/10^8</f>
        <v>16.809006270000001</v>
      </c>
      <c r="M76" s="3">
        <f>1088498532/10^8</f>
        <v>10.88498532</v>
      </c>
      <c r="N76" s="5"/>
    </row>
    <row r="77" spans="1:14" x14ac:dyDescent="0.3">
      <c r="A77" s="7">
        <v>44627.78125</v>
      </c>
      <c r="B77" s="7">
        <v>44627.791666666664</v>
      </c>
      <c r="C77" s="3">
        <f>10681951/10^5</f>
        <v>106.81950999999999</v>
      </c>
      <c r="D77" s="3">
        <f>6769011/10^5</f>
        <v>67.690110000000004</v>
      </c>
      <c r="E77" s="3"/>
      <c r="F77" s="3"/>
      <c r="G77" s="3">
        <f>391294/10^4</f>
        <v>39.129399999999997</v>
      </c>
      <c r="H77" s="3">
        <f>3835328897/10^7</f>
        <v>383.5328897</v>
      </c>
      <c r="I77" s="3">
        <f>32436/10^2</f>
        <v>324.36</v>
      </c>
      <c r="J77" s="3">
        <f t="shared" si="3"/>
        <v>176.42</v>
      </c>
      <c r="K77" s="3">
        <f>1208352229/10^8</f>
        <v>12.083522289999999</v>
      </c>
      <c r="L77" s="3">
        <f>1665859554/10^8</f>
        <v>16.65859554</v>
      </c>
      <c r="M77" s="3">
        <f>864022893/10^8</f>
        <v>8.6402289299999993</v>
      </c>
      <c r="N77" s="5"/>
    </row>
    <row r="78" spans="1:14" x14ac:dyDescent="0.3">
      <c r="A78" s="7">
        <v>44627.791666666664</v>
      </c>
      <c r="B78" s="7">
        <v>44627.802083333336</v>
      </c>
      <c r="C78" s="3">
        <f>15645296/10^5</f>
        <v>156.45295999999999</v>
      </c>
      <c r="D78" s="3">
        <f>11851406/10^5</f>
        <v>118.51406</v>
      </c>
      <c r="E78" s="3"/>
      <c r="F78" s="3"/>
      <c r="G78" s="3">
        <f>379389/10^4</f>
        <v>37.938899999999997</v>
      </c>
      <c r="H78" s="3">
        <f>3840125399/10^7</f>
        <v>384.01253989999998</v>
      </c>
      <c r="I78" s="3">
        <f>32436/10^2</f>
        <v>324.36</v>
      </c>
      <c r="J78" s="3">
        <f t="shared" si="3"/>
        <v>176.42</v>
      </c>
      <c r="K78" s="3">
        <f>1248176806/10^8</f>
        <v>12.48176806</v>
      </c>
      <c r="L78" s="3">
        <f>1155498972/10^8</f>
        <v>11.55498972</v>
      </c>
      <c r="M78" s="3">
        <f>1838734034/10^8</f>
        <v>18.387340340000002</v>
      </c>
      <c r="N78" s="5"/>
    </row>
    <row r="79" spans="1:14" x14ac:dyDescent="0.3">
      <c r="A79" s="7">
        <v>44627.802083333336</v>
      </c>
      <c r="B79" s="7">
        <v>44627.8125</v>
      </c>
      <c r="C79" s="3">
        <f>11976777/10^5</f>
        <v>119.76777</v>
      </c>
      <c r="D79" s="3">
        <f>9166248/10^5</f>
        <v>91.662480000000002</v>
      </c>
      <c r="E79" s="3"/>
      <c r="F79" s="3"/>
      <c r="G79" s="3">
        <f>2810529/10^5</f>
        <v>28.10529</v>
      </c>
      <c r="H79" s="3">
        <f>3833817022/10^7</f>
        <v>383.38170220000001</v>
      </c>
      <c r="I79" s="3">
        <f>32436/10^2</f>
        <v>324.36</v>
      </c>
      <c r="J79" s="3">
        <f t="shared" si="3"/>
        <v>176.42</v>
      </c>
      <c r="K79" s="3">
        <f>1327398499/10^8</f>
        <v>13.273984990000001</v>
      </c>
      <c r="L79" s="3">
        <f>1210137202/10^8</f>
        <v>12.101372019999999</v>
      </c>
      <c r="M79" s="3">
        <f>127725822/10^7</f>
        <v>12.7725822</v>
      </c>
      <c r="N79" s="5"/>
    </row>
    <row r="80" spans="1:14" x14ac:dyDescent="0.3">
      <c r="A80" s="7">
        <v>44627.8125</v>
      </c>
      <c r="B80" s="7">
        <v>44627.822916666664</v>
      </c>
      <c r="C80" s="3">
        <f>8769291/10^5</f>
        <v>87.692909999999998</v>
      </c>
      <c r="D80" s="3">
        <f>8950132/10^5</f>
        <v>89.501320000000007</v>
      </c>
      <c r="E80" s="3"/>
      <c r="F80" s="3"/>
      <c r="G80" s="3">
        <f>-180841/10^5</f>
        <v>-1.8084100000000001</v>
      </c>
      <c r="H80" s="3">
        <f>1987273801/10^7</f>
        <v>198.7273801</v>
      </c>
      <c r="I80" s="3">
        <f>32436/10^2</f>
        <v>324.36</v>
      </c>
      <c r="J80" s="3">
        <f>21981/10^2</f>
        <v>219.81</v>
      </c>
      <c r="K80" s="3">
        <f>1277758854/10^8</f>
        <v>12.77758854</v>
      </c>
      <c r="L80" s="3">
        <f>604082387/10^8</f>
        <v>6.0408238699999997</v>
      </c>
      <c r="M80" s="3">
        <f>971242002/10^8</f>
        <v>9.7124200199999997</v>
      </c>
      <c r="N80" s="5"/>
    </row>
    <row r="81" spans="1:14" x14ac:dyDescent="0.3">
      <c r="A81" s="7">
        <v>44627.822916666664</v>
      </c>
      <c r="B81" s="7">
        <v>44627.833333333336</v>
      </c>
      <c r="C81" s="3">
        <f>4179054/10^5</f>
        <v>41.79054</v>
      </c>
      <c r="D81" s="3">
        <f>5752194/10^5</f>
        <v>57.521940000000001</v>
      </c>
      <c r="E81" s="3"/>
      <c r="F81" s="3"/>
      <c r="G81" s="3">
        <f>-157314/10^4</f>
        <v>-15.731400000000001</v>
      </c>
      <c r="H81" s="3">
        <f>1912776178/10^7</f>
        <v>191.2776178</v>
      </c>
      <c r="I81" s="3">
        <f>34316/10^2</f>
        <v>343.16</v>
      </c>
      <c r="J81" s="3">
        <f>21981/10^2</f>
        <v>219.81</v>
      </c>
      <c r="K81" s="3">
        <f>1277283822/10^8</f>
        <v>12.772838220000001</v>
      </c>
      <c r="L81" s="3">
        <f>607728373/10^8</f>
        <v>6.0772837300000004</v>
      </c>
      <c r="M81" s="3">
        <f>536927393/10^8</f>
        <v>5.3692739300000003</v>
      </c>
      <c r="N81" s="5"/>
    </row>
    <row r="82" spans="1:14" x14ac:dyDescent="0.3">
      <c r="A82" s="7">
        <v>44627.833333333336</v>
      </c>
      <c r="B82" s="7">
        <v>44627.84375</v>
      </c>
      <c r="C82" s="3">
        <f>9695242/10^5</f>
        <v>96.952420000000004</v>
      </c>
      <c r="D82" s="3">
        <f>7948924/10^5</f>
        <v>79.489239999999995</v>
      </c>
      <c r="E82" s="3"/>
      <c r="F82" s="3"/>
      <c r="G82" s="3">
        <f>1746318/10^5</f>
        <v>17.463180000000001</v>
      </c>
      <c r="H82" s="3">
        <f>4432616608/10^7</f>
        <v>443.26166080000002</v>
      </c>
      <c r="I82" s="3">
        <f>44317/10^2</f>
        <v>443.17</v>
      </c>
      <c r="J82" s="3">
        <f>21981/10^2</f>
        <v>219.81</v>
      </c>
      <c r="K82" s="3">
        <f>1337547994/10^8</f>
        <v>13.37547994</v>
      </c>
      <c r="L82" s="3">
        <f>1858577578/10^8</f>
        <v>18.585775779999999</v>
      </c>
      <c r="M82" s="3">
        <f>1219476647/10^8</f>
        <v>12.194766469999999</v>
      </c>
      <c r="N82" s="5"/>
    </row>
    <row r="83" spans="1:14" x14ac:dyDescent="0.3">
      <c r="A83" s="7">
        <v>44627.84375</v>
      </c>
      <c r="B83" s="7">
        <v>44627.854166666664</v>
      </c>
      <c r="C83" s="3">
        <f>9943692/10^5</f>
        <v>99.436920000000001</v>
      </c>
      <c r="D83" s="3">
        <f>9861023/10^5</f>
        <v>98.610230000000001</v>
      </c>
      <c r="E83" s="3"/>
      <c r="F83" s="3"/>
      <c r="G83" s="3">
        <f>82669/10^5</f>
        <v>0.82669000000000004</v>
      </c>
      <c r="H83" s="3">
        <f>4432793672/10^7</f>
        <v>443.27936720000002</v>
      </c>
      <c r="I83" s="3">
        <f>44317/10^2</f>
        <v>443.17</v>
      </c>
      <c r="J83" s="3">
        <f>200/10^0</f>
        <v>200</v>
      </c>
      <c r="K83" s="3">
        <f>1344277176/10^8</f>
        <v>13.442771759999999</v>
      </c>
      <c r="L83" s="3">
        <f>1776482276/10^8</f>
        <v>17.764822760000001</v>
      </c>
      <c r="M83" s="3">
        <f>1711555974/10^8</f>
        <v>17.115559739999998</v>
      </c>
      <c r="N83" s="5"/>
    </row>
    <row r="84" spans="1:14" x14ac:dyDescent="0.3">
      <c r="A84" s="7">
        <v>44627.854166666664</v>
      </c>
      <c r="B84" s="7">
        <v>44627.864583333336</v>
      </c>
      <c r="C84" s="3">
        <f>6482473/10^5</f>
        <v>64.824730000000002</v>
      </c>
      <c r="D84" s="3">
        <f>9108229/10^5</f>
        <v>91.08229</v>
      </c>
      <c r="E84" s="3"/>
      <c r="F84" s="3"/>
      <c r="G84" s="3">
        <f>-2625756/10^5</f>
        <v>-26.257560000000002</v>
      </c>
      <c r="H84" s="3">
        <f>1763598854/10^7</f>
        <v>176.3598854</v>
      </c>
      <c r="I84" s="3">
        <f>44147/10^2</f>
        <v>441.47</v>
      </c>
      <c r="J84" s="3">
        <f>18979/10^2</f>
        <v>189.79</v>
      </c>
      <c r="K84" s="3">
        <f>1219501328/10^8</f>
        <v>12.19501328</v>
      </c>
      <c r="L84" s="3">
        <f>1037793054/10^8</f>
        <v>10.377930539999999</v>
      </c>
      <c r="M84" s="3">
        <f>1207439332/10^8</f>
        <v>12.07439332</v>
      </c>
      <c r="N84" s="5"/>
    </row>
    <row r="85" spans="1:14" x14ac:dyDescent="0.3">
      <c r="A85" s="7">
        <v>44627.864583333336</v>
      </c>
      <c r="B85" s="7">
        <v>44627.875</v>
      </c>
      <c r="C85" s="3">
        <f>4994334/10^5</f>
        <v>49.943339999999999</v>
      </c>
      <c r="D85" s="3">
        <f>11822231/10^5</f>
        <v>118.22230999999999</v>
      </c>
      <c r="E85" s="3"/>
      <c r="F85" s="3"/>
      <c r="G85" s="3">
        <f>-6827897/10^5</f>
        <v>-68.278970000000001</v>
      </c>
      <c r="H85" s="3">
        <f>1725940871/10^7</f>
        <v>172.5940871</v>
      </c>
      <c r="I85" s="3">
        <f>44147/10^2</f>
        <v>441.47</v>
      </c>
      <c r="J85" s="3">
        <f>18548/10^2</f>
        <v>185.48</v>
      </c>
      <c r="K85" s="3">
        <f>1286494251/10^8</f>
        <v>12.864942510000001</v>
      </c>
      <c r="L85" s="3">
        <f>1033566838/10^8</f>
        <v>10.33566838</v>
      </c>
      <c r="M85" s="3">
        <f>882946806/10^8</f>
        <v>8.82946806</v>
      </c>
      <c r="N85" s="5"/>
    </row>
    <row r="86" spans="1:14" x14ac:dyDescent="0.3">
      <c r="A86" s="7">
        <v>44627.875</v>
      </c>
      <c r="B86" s="7">
        <v>44627.885416666664</v>
      </c>
      <c r="C86" s="3">
        <f>10412435/10^5</f>
        <v>104.12435000000001</v>
      </c>
      <c r="D86" s="3">
        <f>8630458/10^5</f>
        <v>86.304580000000001</v>
      </c>
      <c r="E86" s="3"/>
      <c r="F86" s="3"/>
      <c r="G86" s="3">
        <f>1781977/10^5</f>
        <v>17.819769999999998</v>
      </c>
      <c r="H86" s="3">
        <f>364488662/10^6</f>
        <v>364.48866199999998</v>
      </c>
      <c r="I86" s="3">
        <f>36413/10^2</f>
        <v>364.13</v>
      </c>
      <c r="J86" s="3">
        <f t="shared" ref="J86:J97" si="4">17642/10^2</f>
        <v>176.42</v>
      </c>
      <c r="K86" s="3">
        <f>1236298025/10^8</f>
        <v>12.36298025</v>
      </c>
      <c r="L86" s="3">
        <f>771807665/10^8</f>
        <v>7.7180766500000004</v>
      </c>
      <c r="M86" s="3">
        <f>1132801589/10^8</f>
        <v>11.32801589</v>
      </c>
      <c r="N86" s="5"/>
    </row>
    <row r="87" spans="1:14" x14ac:dyDescent="0.3">
      <c r="A87" s="7">
        <v>44627.885416666664</v>
      </c>
      <c r="B87" s="7">
        <v>44627.895833333336</v>
      </c>
      <c r="C87" s="3">
        <f>8121464/10^5</f>
        <v>81.214640000000003</v>
      </c>
      <c r="D87" s="3">
        <f>8486626/10^5</f>
        <v>84.866259999999997</v>
      </c>
      <c r="E87" s="3"/>
      <c r="F87" s="3"/>
      <c r="G87" s="3">
        <f>-365162/10^5</f>
        <v>-3.6516199999999999</v>
      </c>
      <c r="H87" s="3">
        <f>1762639926/10^7</f>
        <v>176.26399259999999</v>
      </c>
      <c r="I87" s="3">
        <f>36413/10^2</f>
        <v>364.13</v>
      </c>
      <c r="J87" s="3">
        <f t="shared" si="4"/>
        <v>176.42</v>
      </c>
      <c r="K87" s="3">
        <f>1078946655/10^8</f>
        <v>10.78946655</v>
      </c>
      <c r="L87" s="3">
        <f>776906672/10^8</f>
        <v>7.7690667199999996</v>
      </c>
      <c r="M87" s="3">
        <f>1065374378/10^8</f>
        <v>10.653743779999999</v>
      </c>
      <c r="N87" s="5"/>
    </row>
    <row r="88" spans="1:14" x14ac:dyDescent="0.3">
      <c r="A88" s="7">
        <v>44627.895833333336</v>
      </c>
      <c r="B88" s="7">
        <v>44627.90625</v>
      </c>
      <c r="C88" s="3">
        <f>544113/10^4</f>
        <v>54.411299999999997</v>
      </c>
      <c r="D88" s="3">
        <f>9458372/10^5</f>
        <v>94.58372</v>
      </c>
      <c r="E88" s="3"/>
      <c r="F88" s="3"/>
      <c r="G88" s="3">
        <f>-4017242/10^5</f>
        <v>-40.172420000000002</v>
      </c>
      <c r="H88" s="3">
        <f>1714670607/10^7</f>
        <v>171.46706069999999</v>
      </c>
      <c r="I88" s="3">
        <f>36413/10^2</f>
        <v>364.13</v>
      </c>
      <c r="J88" s="3">
        <f t="shared" si="4"/>
        <v>176.42</v>
      </c>
      <c r="K88" s="3">
        <f>1095657027/10^8</f>
        <v>10.95657027</v>
      </c>
      <c r="L88" s="3">
        <f>1111857278/10^8</f>
        <v>11.118572779999999</v>
      </c>
      <c r="M88" s="3">
        <f>777554035/10^8</f>
        <v>7.77554035</v>
      </c>
      <c r="N88" s="5"/>
    </row>
    <row r="89" spans="1:14" x14ac:dyDescent="0.3">
      <c r="A89" s="7">
        <v>44627.90625</v>
      </c>
      <c r="B89" s="7">
        <v>44627.916666666664</v>
      </c>
      <c r="C89" s="3">
        <f>4309756/10^5</f>
        <v>43.097560000000001</v>
      </c>
      <c r="D89" s="3">
        <f>12039608/10^5</f>
        <v>120.39608</v>
      </c>
      <c r="E89" s="3"/>
      <c r="F89" s="3"/>
      <c r="G89" s="3">
        <f>-7729852/10^5</f>
        <v>-77.298519999999996</v>
      </c>
      <c r="H89" s="3">
        <f>1605993484/10^7</f>
        <v>160.5993484</v>
      </c>
      <c r="I89" s="3">
        <f>36413/10^2</f>
        <v>364.13</v>
      </c>
      <c r="J89" s="3">
        <f t="shared" si="4"/>
        <v>176.42</v>
      </c>
      <c r="K89" s="3">
        <f>1124783847/10^8</f>
        <v>11.24783847</v>
      </c>
      <c r="L89" s="3">
        <f>1126994065/10^8</f>
        <v>11.269940650000001</v>
      </c>
      <c r="M89" s="3">
        <f>618929203/10^8</f>
        <v>6.1892920299999998</v>
      </c>
      <c r="N89" s="5"/>
    </row>
    <row r="90" spans="1:14" x14ac:dyDescent="0.3">
      <c r="A90" s="7">
        <v>44627.916666666664</v>
      </c>
      <c r="B90" s="7">
        <v>44627.927083333336</v>
      </c>
      <c r="C90" s="3">
        <f>869942/10^4</f>
        <v>86.994200000000006</v>
      </c>
      <c r="D90" s="3">
        <f>6113521/10^5</f>
        <v>61.135210000000001</v>
      </c>
      <c r="E90" s="3"/>
      <c r="F90" s="3"/>
      <c r="G90" s="3">
        <f>2585899/10^5</f>
        <v>25.858989999999999</v>
      </c>
      <c r="H90" s="3">
        <f>3494595496/10^7</f>
        <v>349.4595496</v>
      </c>
      <c r="I90" s="3">
        <f>34862/10^2</f>
        <v>348.62</v>
      </c>
      <c r="J90" s="3">
        <f t="shared" si="4"/>
        <v>176.42</v>
      </c>
      <c r="K90" s="3">
        <f>1328789382/10^8</f>
        <v>13.287893820000001</v>
      </c>
      <c r="L90" s="3">
        <f>379695021/10^8</f>
        <v>3.7969502099999999</v>
      </c>
      <c r="M90" s="3">
        <f>675912564/10^8</f>
        <v>6.7591256399999997</v>
      </c>
      <c r="N90" s="5"/>
    </row>
    <row r="91" spans="1:14" x14ac:dyDescent="0.3">
      <c r="A91" s="7">
        <v>44627.927083333336</v>
      </c>
      <c r="B91" s="7">
        <v>44627.9375</v>
      </c>
      <c r="C91" s="3">
        <f>606501/10^4</f>
        <v>60.650100000000002</v>
      </c>
      <c r="D91" s="3">
        <f>5910083/10^5</f>
        <v>59.100830000000002</v>
      </c>
      <c r="E91" s="3"/>
      <c r="F91" s="3"/>
      <c r="G91" s="3">
        <f>154927/10^5</f>
        <v>1.5492699999999999</v>
      </c>
      <c r="H91" s="3">
        <f>3489459379/10^7</f>
        <v>348.94593789999999</v>
      </c>
      <c r="I91" s="3">
        <f>34812/10^2</f>
        <v>348.12</v>
      </c>
      <c r="J91" s="3">
        <f t="shared" si="4"/>
        <v>176.42</v>
      </c>
      <c r="K91" s="3">
        <f>1276254384/10^8</f>
        <v>12.762543839999999</v>
      </c>
      <c r="L91" s="3">
        <f>371208051/10^8</f>
        <v>3.7120805099999998</v>
      </c>
      <c r="M91" s="3">
        <f>757893999/10^8</f>
        <v>7.5789399900000003</v>
      </c>
      <c r="N91" s="5"/>
    </row>
    <row r="92" spans="1:14" x14ac:dyDescent="0.3">
      <c r="A92" s="7">
        <v>44627.9375</v>
      </c>
      <c r="B92" s="7">
        <v>44627.947916666664</v>
      </c>
      <c r="C92" s="3">
        <f>4412105/10^5</f>
        <v>44.121049999999997</v>
      </c>
      <c r="D92" s="3">
        <f>9612166/10^5</f>
        <v>96.121660000000006</v>
      </c>
      <c r="E92" s="3"/>
      <c r="F92" s="3"/>
      <c r="G92" s="3">
        <f>-5200061/10^5</f>
        <v>-52.000610000000002</v>
      </c>
      <c r="H92" s="3">
        <f>1610590302/10^7</f>
        <v>161.0590302</v>
      </c>
      <c r="I92" s="3">
        <f>34812/10^2</f>
        <v>348.12</v>
      </c>
      <c r="J92" s="3">
        <f t="shared" si="4"/>
        <v>176.42</v>
      </c>
      <c r="K92" s="3">
        <f>1143789136/10^8</f>
        <v>11.43789136</v>
      </c>
      <c r="L92" s="3">
        <f>769267287/10^8</f>
        <v>7.69267287</v>
      </c>
      <c r="M92" s="3">
        <f>59101823/10^7</f>
        <v>5.9101822999999998</v>
      </c>
      <c r="N92" s="5"/>
    </row>
    <row r="93" spans="1:14" x14ac:dyDescent="0.3">
      <c r="A93" s="7">
        <v>44627.947916666664</v>
      </c>
      <c r="B93" s="7">
        <v>44627.958333333336</v>
      </c>
      <c r="C93" s="3">
        <f>4229916/10^5</f>
        <v>42.299160000000001</v>
      </c>
      <c r="D93" s="3">
        <f>11782705/10^5</f>
        <v>117.82705</v>
      </c>
      <c r="E93" s="3"/>
      <c r="F93" s="3"/>
      <c r="G93" s="3">
        <f>-7552789/10^5</f>
        <v>-75.527889999999999</v>
      </c>
      <c r="H93" s="3">
        <f>1706787256/10^7</f>
        <v>170.67872560000001</v>
      </c>
      <c r="I93" s="3">
        <f>34812/10^2</f>
        <v>348.12</v>
      </c>
      <c r="J93" s="3">
        <f t="shared" si="4"/>
        <v>176.42</v>
      </c>
      <c r="K93" s="3">
        <f>1168460988/10^8</f>
        <v>11.68460988</v>
      </c>
      <c r="L93" s="3">
        <f>784924195/10^8</f>
        <v>7.8492419499999997</v>
      </c>
      <c r="M93" s="3">
        <f>559470601/10^8</f>
        <v>5.5947060100000003</v>
      </c>
      <c r="N93" s="5"/>
    </row>
    <row r="94" spans="1:14" x14ac:dyDescent="0.3">
      <c r="A94" s="7">
        <v>44627.958333333336</v>
      </c>
      <c r="B94" s="7">
        <v>44627.96875</v>
      </c>
      <c r="C94" s="3">
        <f>7466128/10^5</f>
        <v>74.661280000000005</v>
      </c>
      <c r="D94" s="3">
        <f>6557916/10^5</f>
        <v>65.579160000000002</v>
      </c>
      <c r="E94" s="3"/>
      <c r="F94" s="3"/>
      <c r="G94" s="3">
        <f>908212/10^5</f>
        <v>9.0821199999999997</v>
      </c>
      <c r="H94" s="3">
        <f>2717265835/10^7</f>
        <v>271.7265835</v>
      </c>
      <c r="I94" s="3">
        <f>26814/10^2</f>
        <v>268.14</v>
      </c>
      <c r="J94" s="3">
        <f t="shared" si="4"/>
        <v>176.42</v>
      </c>
      <c r="K94" s="3">
        <f>1100900673/10^8</f>
        <v>11.009006729999999</v>
      </c>
      <c r="L94" s="3">
        <f>332611551/10^8</f>
        <v>3.3261155100000002</v>
      </c>
      <c r="M94" s="3">
        <f>802141106/10^8</f>
        <v>8.0214110600000001</v>
      </c>
      <c r="N94" s="5"/>
    </row>
    <row r="95" spans="1:14" x14ac:dyDescent="0.3">
      <c r="A95" s="7">
        <v>44627.96875</v>
      </c>
      <c r="B95" s="7">
        <v>44627.979166666664</v>
      </c>
      <c r="C95" s="3">
        <f>4036137/10^5</f>
        <v>40.361370000000001</v>
      </c>
      <c r="D95" s="3">
        <f>6684698/10^5</f>
        <v>66.846980000000002</v>
      </c>
      <c r="E95" s="3"/>
      <c r="F95" s="3"/>
      <c r="G95" s="3">
        <f>-2648561/10^5</f>
        <v>-26.485610000000001</v>
      </c>
      <c r="H95" s="3">
        <f>1475202876/10^7</f>
        <v>147.52028759999999</v>
      </c>
      <c r="I95" s="3">
        <f>26444/10^2</f>
        <v>264.44</v>
      </c>
      <c r="J95" s="3">
        <f t="shared" si="4"/>
        <v>176.42</v>
      </c>
      <c r="K95" s="3">
        <f>99827091/10^7</f>
        <v>9.9827090999999992</v>
      </c>
      <c r="L95" s="3">
        <f>342237553/10^8</f>
        <v>3.4223755300000001</v>
      </c>
      <c r="M95" s="3">
        <f>484940592/10^8</f>
        <v>4.8494059199999997</v>
      </c>
      <c r="N95" s="5"/>
    </row>
    <row r="96" spans="1:14" x14ac:dyDescent="0.3">
      <c r="A96" s="7">
        <v>44627.979166666664</v>
      </c>
      <c r="B96" s="7">
        <v>44627.989583333336</v>
      </c>
      <c r="C96" s="3">
        <f>3426624/10^5</f>
        <v>34.266240000000003</v>
      </c>
      <c r="D96" s="3">
        <f>11030837/10^5</f>
        <v>110.30837</v>
      </c>
      <c r="E96" s="3"/>
      <c r="F96" s="3"/>
      <c r="G96" s="3">
        <f>-7604213/10^5</f>
        <v>-76.04213</v>
      </c>
      <c r="H96" s="3">
        <f>1708722558/10^7</f>
        <v>170.8722558</v>
      </c>
      <c r="I96" s="3">
        <f>26444/10^2</f>
        <v>264.44</v>
      </c>
      <c r="J96" s="3">
        <f t="shared" si="4"/>
        <v>176.42</v>
      </c>
      <c r="K96" s="3">
        <f>994505396/10^8</f>
        <v>9.9450539599999992</v>
      </c>
      <c r="L96" s="3">
        <f>257478863/10^8</f>
        <v>2.57478863</v>
      </c>
      <c r="M96" s="3">
        <f>216793197/10^8</f>
        <v>2.1679319700000002</v>
      </c>
      <c r="N96" s="5"/>
    </row>
    <row r="97" spans="1:14" x14ac:dyDescent="0.3">
      <c r="A97" s="7">
        <v>44627.989583333336</v>
      </c>
      <c r="B97" s="7">
        <v>44628</v>
      </c>
      <c r="C97" s="3">
        <f>2554416/10^5</f>
        <v>25.544160000000002</v>
      </c>
      <c r="D97" s="3">
        <f>12303147/10^5</f>
        <v>123.03147</v>
      </c>
      <c r="E97" s="3"/>
      <c r="F97" s="3"/>
      <c r="G97" s="3">
        <f>-9748731/10^5</f>
        <v>-97.487309999999994</v>
      </c>
      <c r="H97" s="3">
        <f>1577202025/10^7</f>
        <v>157.7202025</v>
      </c>
      <c r="I97" s="3">
        <f>26444/10^2</f>
        <v>264.44</v>
      </c>
      <c r="J97" s="3">
        <f t="shared" si="4"/>
        <v>176.42</v>
      </c>
      <c r="K97" s="3">
        <f>979197326/10^8</f>
        <v>9.7919732600000007</v>
      </c>
      <c r="L97" s="3">
        <f>208339883/10^8</f>
        <v>2.0833988300000001</v>
      </c>
      <c r="M97" s="3">
        <f>309313005/10^8</f>
        <v>3.0931300500000001</v>
      </c>
      <c r="N97" s="5"/>
    </row>
    <row r="98" spans="1:14" x14ac:dyDescent="0.3">
      <c r="A98" s="7">
        <v>44628</v>
      </c>
      <c r="B98" s="7">
        <v>44628.010416666664</v>
      </c>
      <c r="C98" s="3">
        <f>6657493/10^5</f>
        <v>66.574929999999995</v>
      </c>
      <c r="D98" s="3">
        <f>8431104/10^5</f>
        <v>84.311040000000006</v>
      </c>
      <c r="E98" s="3"/>
      <c r="F98" s="3"/>
      <c r="G98" s="3">
        <f>-1773611/10^5</f>
        <v>-17.73611</v>
      </c>
      <c r="H98" s="3">
        <f>1757799998/10^7</f>
        <v>175.77999980000001</v>
      </c>
      <c r="I98" s="3">
        <f>54702/10^2</f>
        <v>547.02</v>
      </c>
      <c r="J98" s="3">
        <f t="shared" ref="J98:J105" si="5">17578/10^2</f>
        <v>175.78</v>
      </c>
      <c r="K98" s="3">
        <f>999886009/10^8</f>
        <v>9.9988600900000009</v>
      </c>
      <c r="L98" s="3">
        <f>48086691/10^8</f>
        <v>0.48086690999999998</v>
      </c>
      <c r="M98" s="3">
        <f>225768827/10^7</f>
        <v>22.576882699999999</v>
      </c>
      <c r="N98" s="5"/>
    </row>
    <row r="99" spans="1:14" x14ac:dyDescent="0.3">
      <c r="A99" s="7">
        <v>44628.010416666664</v>
      </c>
      <c r="B99" s="7">
        <v>44628.020833333336</v>
      </c>
      <c r="C99" s="3">
        <f>11756092/10^5</f>
        <v>117.56092</v>
      </c>
      <c r="D99" s="3">
        <f>12104329/10^5</f>
        <v>121.04329</v>
      </c>
      <c r="E99" s="3"/>
      <c r="F99" s="3"/>
      <c r="G99" s="3">
        <f>-348237/10^5</f>
        <v>-3.48237</v>
      </c>
      <c r="H99" s="3">
        <f>1757253713/10^7</f>
        <v>175.72537130000001</v>
      </c>
      <c r="I99" s="3">
        <f>3443/10^1</f>
        <v>344.3</v>
      </c>
      <c r="J99" s="3">
        <f t="shared" si="5"/>
        <v>175.78</v>
      </c>
      <c r="K99" s="3">
        <f>1027790704/10^8</f>
        <v>10.277907040000001</v>
      </c>
      <c r="L99" s="3">
        <f>50212967/10^8</f>
        <v>0.50212966999999997</v>
      </c>
      <c r="M99" s="3">
        <f>1837043338/10^8</f>
        <v>18.370433380000001</v>
      </c>
      <c r="N99" s="5"/>
    </row>
    <row r="100" spans="1:14" x14ac:dyDescent="0.3">
      <c r="A100" s="7">
        <v>44628.020833333336</v>
      </c>
      <c r="B100" s="7">
        <v>44628.03125</v>
      </c>
      <c r="C100" s="3">
        <f>9700142/10^5</f>
        <v>97.001419999999996</v>
      </c>
      <c r="D100" s="3">
        <f>12010139/10^5</f>
        <v>120.10138999999999</v>
      </c>
      <c r="E100" s="3"/>
      <c r="F100" s="3"/>
      <c r="G100" s="3">
        <f>-2309997/10^5</f>
        <v>-23.099969999999999</v>
      </c>
      <c r="H100" s="3">
        <f>1756373294/10^7</f>
        <v>175.6373294</v>
      </c>
      <c r="I100" s="3">
        <f>3441/10^1</f>
        <v>344.1</v>
      </c>
      <c r="J100" s="3">
        <f t="shared" si="5"/>
        <v>175.78</v>
      </c>
      <c r="K100" s="3">
        <f>1085070289/10^8</f>
        <v>10.850702890000001</v>
      </c>
      <c r="L100" s="3">
        <f>51529044/10^8</f>
        <v>0.51529044000000002</v>
      </c>
      <c r="M100" s="3">
        <f>1935555371/10^8</f>
        <v>19.355553709999999</v>
      </c>
      <c r="N100" s="5"/>
    </row>
    <row r="101" spans="1:14" x14ac:dyDescent="0.3">
      <c r="A101" s="7">
        <v>44628.03125</v>
      </c>
      <c r="B101" s="7">
        <v>44628.041666666664</v>
      </c>
      <c r="C101" s="3">
        <f>7295353/10^5</f>
        <v>72.953530000000001</v>
      </c>
      <c r="D101" s="3">
        <f>9557724/10^5</f>
        <v>95.577240000000003</v>
      </c>
      <c r="E101" s="3"/>
      <c r="F101" s="3"/>
      <c r="G101" s="3">
        <f>-2262371/10^5</f>
        <v>-22.623709999999999</v>
      </c>
      <c r="H101" s="3">
        <f>1757052896/10^7</f>
        <v>175.70528959999999</v>
      </c>
      <c r="I101" s="3">
        <f>3439/10^1</f>
        <v>343.9</v>
      </c>
      <c r="J101" s="3">
        <f t="shared" si="5"/>
        <v>175.78</v>
      </c>
      <c r="K101" s="3">
        <f>1101757535/10^8</f>
        <v>11.01757535</v>
      </c>
      <c r="L101" s="3">
        <f>50978199/10^8</f>
        <v>0.50978199000000002</v>
      </c>
      <c r="M101" s="3">
        <f>978705826/10^8</f>
        <v>9.7870582600000002</v>
      </c>
      <c r="N101" s="5"/>
    </row>
    <row r="102" spans="1:14" x14ac:dyDescent="0.3">
      <c r="A102" s="7">
        <v>44628.041666666664</v>
      </c>
      <c r="B102" s="7">
        <v>44628.052083333336</v>
      </c>
      <c r="C102" s="3">
        <f>9568781/10^5</f>
        <v>95.687809999999999</v>
      </c>
      <c r="D102" s="3">
        <f>563093/10^4</f>
        <v>56.3093</v>
      </c>
      <c r="E102" s="3"/>
      <c r="F102" s="3"/>
      <c r="G102" s="3">
        <f>3937851/10^5</f>
        <v>39.378509999999999</v>
      </c>
      <c r="H102" s="3">
        <f>3438999999/10^7</f>
        <v>343.89999990000001</v>
      </c>
      <c r="I102" s="3">
        <f>3439/10^1</f>
        <v>343.9</v>
      </c>
      <c r="J102" s="3">
        <f t="shared" si="5"/>
        <v>175.78</v>
      </c>
      <c r="K102" s="3">
        <f>1300690081/10^8</f>
        <v>13.006900809999999</v>
      </c>
      <c r="L102" s="3">
        <f>34151823/10^8</f>
        <v>0.34151822999999998</v>
      </c>
      <c r="M102" s="3">
        <f>1081894371/10^8</f>
        <v>10.818943709999999</v>
      </c>
      <c r="N102" s="5"/>
    </row>
    <row r="103" spans="1:14" x14ac:dyDescent="0.3">
      <c r="A103" s="7">
        <v>44628.052083333336</v>
      </c>
      <c r="B103" s="7">
        <v>44628.0625</v>
      </c>
      <c r="C103" s="3">
        <f>10240619/10^5</f>
        <v>102.40619</v>
      </c>
      <c r="D103" s="3">
        <f>6269753/10^5</f>
        <v>62.69753</v>
      </c>
      <c r="E103" s="3"/>
      <c r="F103" s="3"/>
      <c r="G103" s="3">
        <f>3970866/10^5</f>
        <v>39.708660000000002</v>
      </c>
      <c r="H103" s="3">
        <f>3438999999/10^7</f>
        <v>343.89999990000001</v>
      </c>
      <c r="I103" s="3">
        <f>3439/10^1</f>
        <v>343.9</v>
      </c>
      <c r="J103" s="3">
        <f t="shared" si="5"/>
        <v>175.78</v>
      </c>
      <c r="K103" s="3">
        <f>1297774077/10^8</f>
        <v>12.97774077</v>
      </c>
      <c r="L103" s="3">
        <f>34363221/10^8</f>
        <v>0.34363220999999999</v>
      </c>
      <c r="M103" s="3">
        <f>914140123/10^8</f>
        <v>9.1414012299999996</v>
      </c>
      <c r="N103" s="5"/>
    </row>
    <row r="104" spans="1:14" x14ac:dyDescent="0.3">
      <c r="A104" s="7">
        <v>44628.0625</v>
      </c>
      <c r="B104" s="7">
        <v>44628.072916666664</v>
      </c>
      <c r="C104" s="3">
        <f>8124594/10^5</f>
        <v>81.245940000000004</v>
      </c>
      <c r="D104" s="3">
        <f>5070632/10^5</f>
        <v>50.706319999999998</v>
      </c>
      <c r="E104" s="3"/>
      <c r="F104" s="3"/>
      <c r="G104" s="3">
        <f>3053962/10^5</f>
        <v>30.539619999999999</v>
      </c>
      <c r="H104" s="3">
        <f>3438999999/10^7</f>
        <v>343.89999990000001</v>
      </c>
      <c r="I104" s="3">
        <f>3439/10^1</f>
        <v>343.9</v>
      </c>
      <c r="J104" s="3">
        <f t="shared" si="5"/>
        <v>175.78</v>
      </c>
      <c r="K104" s="3">
        <f>1268342188/10^8</f>
        <v>12.683421879999999</v>
      </c>
      <c r="L104" s="3">
        <f>35594861/10^8</f>
        <v>0.35594861</v>
      </c>
      <c r="M104" s="3">
        <f>931976184/10^8</f>
        <v>9.31976184</v>
      </c>
      <c r="N104" s="5"/>
    </row>
    <row r="105" spans="1:14" x14ac:dyDescent="0.3">
      <c r="A105" s="7">
        <v>44628.072916666664</v>
      </c>
      <c r="B105" s="7">
        <v>44628.083333333336</v>
      </c>
      <c r="C105" s="3">
        <f>13388187/10^5</f>
        <v>133.88186999999999</v>
      </c>
      <c r="D105" s="3">
        <f>742376/10^4</f>
        <v>74.2376</v>
      </c>
      <c r="E105" s="3"/>
      <c r="F105" s="3"/>
      <c r="G105" s="3">
        <f>5964427/10^5</f>
        <v>59.644269999999999</v>
      </c>
      <c r="H105" s="3">
        <f>3440999999/10^7</f>
        <v>344.0999999</v>
      </c>
      <c r="I105" s="3">
        <f>3441/10^1</f>
        <v>344.1</v>
      </c>
      <c r="J105" s="3">
        <f t="shared" si="5"/>
        <v>175.78</v>
      </c>
      <c r="K105" s="3">
        <f>1283990444/10^8</f>
        <v>12.83990444</v>
      </c>
      <c r="L105" s="3">
        <f>36818177/10^8</f>
        <v>0.36818177000000002</v>
      </c>
      <c r="M105" s="3">
        <f>1263215351/10^8</f>
        <v>12.63215351</v>
      </c>
      <c r="N105" s="5"/>
    </row>
    <row r="106" spans="1:14" x14ac:dyDescent="0.3">
      <c r="A106" s="7">
        <v>44628.083333333336</v>
      </c>
      <c r="B106" s="7">
        <v>44628.09375</v>
      </c>
      <c r="C106" s="3">
        <f>8846699/10^5</f>
        <v>88.466989999999996</v>
      </c>
      <c r="D106" s="3">
        <f>5367936/10^5</f>
        <v>53.679360000000003</v>
      </c>
      <c r="E106" s="3"/>
      <c r="F106" s="3"/>
      <c r="G106" s="3">
        <f>3478763/10^5</f>
        <v>34.78763</v>
      </c>
      <c r="H106" s="3">
        <f>3586925833/10^7</f>
        <v>358.69258330000002</v>
      </c>
      <c r="I106" s="3">
        <f>3438/10^1</f>
        <v>343.8</v>
      </c>
      <c r="J106" s="3">
        <f>17577/10^2</f>
        <v>175.77</v>
      </c>
      <c r="K106" s="3">
        <f>1284406013/10^8</f>
        <v>12.844060130000001</v>
      </c>
      <c r="L106" s="3">
        <f>36549982/10^8</f>
        <v>0.36549981999999998</v>
      </c>
      <c r="M106" s="3">
        <f>939305663/10^8</f>
        <v>9.3930566300000002</v>
      </c>
      <c r="N106" s="5"/>
    </row>
    <row r="107" spans="1:14" x14ac:dyDescent="0.3">
      <c r="A107" s="7">
        <v>44628.09375</v>
      </c>
      <c r="B107" s="7">
        <v>44628.104166666664</v>
      </c>
      <c r="C107" s="3">
        <f>11306795/10^5</f>
        <v>113.06795</v>
      </c>
      <c r="D107" s="3">
        <f>4675876/10^5</f>
        <v>46.758760000000002</v>
      </c>
      <c r="E107" s="3"/>
      <c r="F107" s="3"/>
      <c r="G107" s="3">
        <f>6630919/10^5</f>
        <v>66.309190000000001</v>
      </c>
      <c r="H107" s="3">
        <f>3559073999/10^7</f>
        <v>355.90739989999997</v>
      </c>
      <c r="I107" s="3">
        <f>344/10^0</f>
        <v>344</v>
      </c>
      <c r="J107" s="3">
        <f>17577/10^2</f>
        <v>175.77</v>
      </c>
      <c r="K107" s="3">
        <f>1190424727/10^8</f>
        <v>11.904247270000001</v>
      </c>
      <c r="L107" s="3">
        <f>35848913/10^8</f>
        <v>0.35848912999999999</v>
      </c>
      <c r="M107" s="3">
        <f>-135030839/10^8</f>
        <v>-1.3503083899999999</v>
      </c>
      <c r="N107" s="5"/>
    </row>
    <row r="108" spans="1:14" x14ac:dyDescent="0.3">
      <c r="A108" s="7">
        <v>44628.104166666664</v>
      </c>
      <c r="B108" s="7">
        <v>44628.114583333336</v>
      </c>
      <c r="C108" s="3">
        <f>11959422/10^5</f>
        <v>119.59422000000001</v>
      </c>
      <c r="D108" s="3">
        <f>3707753/10^5</f>
        <v>37.077530000000003</v>
      </c>
      <c r="E108" s="3"/>
      <c r="F108" s="3"/>
      <c r="G108" s="3">
        <f>8251669/10^5</f>
        <v>82.516689999999997</v>
      </c>
      <c r="H108" s="3">
        <f>3443584267/10^7</f>
        <v>344.3584267</v>
      </c>
      <c r="I108" s="3">
        <f t="shared" ref="I108:I113" si="6">34371/10^2</f>
        <v>343.71</v>
      </c>
      <c r="J108" s="3">
        <f>17579/10^2</f>
        <v>175.79</v>
      </c>
      <c r="K108" s="3">
        <f>1246445001/10^8</f>
        <v>12.46445001</v>
      </c>
      <c r="L108" s="3">
        <f>36202913/10^8</f>
        <v>0.36202912999999998</v>
      </c>
      <c r="M108" s="3">
        <f>785857351/10^8</f>
        <v>7.8585735100000003</v>
      </c>
      <c r="N108" s="5"/>
    </row>
    <row r="109" spans="1:14" x14ac:dyDescent="0.3">
      <c r="A109" s="7">
        <v>44628.114583333336</v>
      </c>
      <c r="B109" s="7">
        <v>44628.125</v>
      </c>
      <c r="C109" s="3">
        <f>10747221/10^5</f>
        <v>107.47221</v>
      </c>
      <c r="D109" s="3">
        <f>3783146/10^5</f>
        <v>37.83146</v>
      </c>
      <c r="E109" s="3"/>
      <c r="F109" s="3"/>
      <c r="G109" s="3">
        <f>6964075/10^5</f>
        <v>69.640749999999997</v>
      </c>
      <c r="H109" s="3">
        <f>3437099999/10^7</f>
        <v>343.70999990000001</v>
      </c>
      <c r="I109" s="3">
        <f t="shared" si="6"/>
        <v>343.71</v>
      </c>
      <c r="J109" s="3">
        <f>1758/10^1</f>
        <v>175.8</v>
      </c>
      <c r="K109" s="3">
        <f>1242588676/10^8</f>
        <v>12.425886759999999</v>
      </c>
      <c r="L109" s="3">
        <f>36684495/10^8</f>
        <v>0.36684495</v>
      </c>
      <c r="M109" s="3">
        <f>654881834/10^8</f>
        <v>6.5488183400000004</v>
      </c>
      <c r="N109" s="5"/>
    </row>
    <row r="110" spans="1:14" x14ac:dyDescent="0.3">
      <c r="A110" s="7">
        <v>44628.125</v>
      </c>
      <c r="B110" s="7">
        <v>44628.135416666664</v>
      </c>
      <c r="C110" s="3">
        <f>881127/10^4</f>
        <v>88.112700000000004</v>
      </c>
      <c r="D110" s="3">
        <f>2577648/10^5</f>
        <v>25.776479999999999</v>
      </c>
      <c r="E110" s="3"/>
      <c r="F110" s="3"/>
      <c r="G110" s="3">
        <f>6233622/10^5</f>
        <v>62.336219999999997</v>
      </c>
      <c r="H110" s="3">
        <f>3437099999/10^7</f>
        <v>343.70999990000001</v>
      </c>
      <c r="I110" s="3">
        <f t="shared" si="6"/>
        <v>343.71</v>
      </c>
      <c r="J110" s="3">
        <f>1758/10^1</f>
        <v>175.8</v>
      </c>
      <c r="K110" s="3">
        <f>1208754767/10^8</f>
        <v>12.087547669999999</v>
      </c>
      <c r="L110" s="3">
        <f>3715778/10^7</f>
        <v>0.37157780000000001</v>
      </c>
      <c r="M110" s="3">
        <f>377698934/10^8</f>
        <v>3.7769893400000001</v>
      </c>
      <c r="N110" s="5"/>
    </row>
    <row r="111" spans="1:14" x14ac:dyDescent="0.3">
      <c r="A111" s="7">
        <v>44628.135416666664</v>
      </c>
      <c r="B111" s="7">
        <v>44628.145833333336</v>
      </c>
      <c r="C111" s="3">
        <f>95381/10^3</f>
        <v>95.381</v>
      </c>
      <c r="D111" s="3">
        <f>2070967/10^5</f>
        <v>20.709669999999999</v>
      </c>
      <c r="E111" s="3"/>
      <c r="F111" s="3"/>
      <c r="G111" s="3">
        <f>7467133/10^5</f>
        <v>74.671329999999998</v>
      </c>
      <c r="H111" s="3">
        <f>3437099998/10^7</f>
        <v>343.70999979999999</v>
      </c>
      <c r="I111" s="3">
        <f t="shared" si="6"/>
        <v>343.71</v>
      </c>
      <c r="J111" s="3">
        <f>1758/10^1</f>
        <v>175.8</v>
      </c>
      <c r="K111" s="3">
        <f>1194216639/10^8</f>
        <v>11.942166390000001</v>
      </c>
      <c r="L111" s="3">
        <f>3649041/10^7</f>
        <v>0.36490410000000001</v>
      </c>
      <c r="M111" s="3">
        <f>48382956/10^8</f>
        <v>0.48382955999999999</v>
      </c>
      <c r="N111" s="5"/>
    </row>
    <row r="112" spans="1:14" x14ac:dyDescent="0.3">
      <c r="A112" s="7">
        <v>44628.145833333336</v>
      </c>
      <c r="B112" s="7">
        <v>44628.15625</v>
      </c>
      <c r="C112" s="3">
        <f>10125183/10^5</f>
        <v>101.25183</v>
      </c>
      <c r="D112" s="3">
        <f>2570371/10^5</f>
        <v>25.703710000000001</v>
      </c>
      <c r="E112" s="3"/>
      <c r="F112" s="3"/>
      <c r="G112" s="3">
        <f>7554812/10^5</f>
        <v>75.548119999999997</v>
      </c>
      <c r="H112" s="3">
        <f>3437099999/10^7</f>
        <v>343.70999990000001</v>
      </c>
      <c r="I112" s="3">
        <f t="shared" si="6"/>
        <v>343.71</v>
      </c>
      <c r="J112" s="3">
        <f>1758/10^1</f>
        <v>175.8</v>
      </c>
      <c r="K112" s="3">
        <f>1205580497/10^8</f>
        <v>12.055804970000001</v>
      </c>
      <c r="L112" s="3">
        <f>37665166/10^8</f>
        <v>0.37665166</v>
      </c>
      <c r="M112" s="3">
        <f>374136113/10^8</f>
        <v>3.74136113</v>
      </c>
      <c r="N112" s="5"/>
    </row>
    <row r="113" spans="1:14" x14ac:dyDescent="0.3">
      <c r="A113" s="7">
        <v>44628.15625</v>
      </c>
      <c r="B113" s="7">
        <v>44628.166666666664</v>
      </c>
      <c r="C113" s="3">
        <f>9580361/10^5</f>
        <v>95.803610000000006</v>
      </c>
      <c r="D113" s="3">
        <f>3778366/10^5</f>
        <v>37.783659999999998</v>
      </c>
      <c r="E113" s="3"/>
      <c r="F113" s="3"/>
      <c r="G113" s="3">
        <f>5801995/10^5</f>
        <v>58.019950000000001</v>
      </c>
      <c r="H113" s="3">
        <f>3437099999/10^7</f>
        <v>343.70999990000001</v>
      </c>
      <c r="I113" s="3">
        <f t="shared" si="6"/>
        <v>343.71</v>
      </c>
      <c r="J113" s="3">
        <f>1758/10^1</f>
        <v>175.8</v>
      </c>
      <c r="K113" s="3">
        <f>113657478/10^7</f>
        <v>11.365747799999999</v>
      </c>
      <c r="L113" s="3">
        <f>37769789/10^8</f>
        <v>0.37769788999999998</v>
      </c>
      <c r="M113" s="3">
        <f>575687045/10^8</f>
        <v>5.7568704500000001</v>
      </c>
      <c r="N113" s="5"/>
    </row>
    <row r="114" spans="1:14" x14ac:dyDescent="0.3">
      <c r="A114" s="7">
        <v>44628.166666666664</v>
      </c>
      <c r="B114" s="7">
        <v>44628.177083333336</v>
      </c>
      <c r="C114" s="3">
        <f>6868573/10^5</f>
        <v>68.685730000000007</v>
      </c>
      <c r="D114" s="3">
        <f>3927071/10^5</f>
        <v>39.270710000000001</v>
      </c>
      <c r="E114" s="3"/>
      <c r="F114" s="3"/>
      <c r="G114" s="3">
        <f>2941502/10^5</f>
        <v>29.415019999999998</v>
      </c>
      <c r="H114" s="3">
        <f>5450199999/10^7</f>
        <v>545.01999990000002</v>
      </c>
      <c r="I114" s="3">
        <f>54502/10^2</f>
        <v>545.02</v>
      </c>
      <c r="J114" s="3">
        <f>17645/10^2</f>
        <v>176.45</v>
      </c>
      <c r="K114" s="3">
        <f>1346198644/10^8</f>
        <v>13.46198644</v>
      </c>
      <c r="L114" s="3">
        <f>35400171/10^8</f>
        <v>0.35400171000000002</v>
      </c>
      <c r="M114" s="3">
        <f>1162143839/10^8</f>
        <v>11.62143839</v>
      </c>
      <c r="N114" s="5"/>
    </row>
    <row r="115" spans="1:14" x14ac:dyDescent="0.3">
      <c r="A115" s="7">
        <v>44628.177083333336</v>
      </c>
      <c r="B115" s="7">
        <v>44628.1875</v>
      </c>
      <c r="C115" s="3">
        <f>10225986/10^5</f>
        <v>102.25986</v>
      </c>
      <c r="D115" s="3">
        <f>3498135/10^5</f>
        <v>34.981349999999999</v>
      </c>
      <c r="E115" s="3"/>
      <c r="F115" s="3"/>
      <c r="G115" s="3">
        <f>6727851/10^5</f>
        <v>67.278509999999997</v>
      </c>
      <c r="H115" s="3">
        <f>343913261/10^6</f>
        <v>343.91326099999998</v>
      </c>
      <c r="I115" s="3">
        <f>3439/10^1</f>
        <v>343.9</v>
      </c>
      <c r="J115" s="3">
        <f>17645/10^2</f>
        <v>176.45</v>
      </c>
      <c r="K115" s="3">
        <f>1173647519/10^8</f>
        <v>11.73647519</v>
      </c>
      <c r="L115" s="3">
        <f>38817117/10^8</f>
        <v>0.38817117000000001</v>
      </c>
      <c r="M115" s="3">
        <f>48485194/10^8</f>
        <v>0.48485193999999998</v>
      </c>
      <c r="N115" s="5"/>
    </row>
    <row r="116" spans="1:14" x14ac:dyDescent="0.3">
      <c r="A116" s="7">
        <v>44628.1875</v>
      </c>
      <c r="B116" s="7">
        <v>44628.197916666664</v>
      </c>
      <c r="C116" s="3">
        <f>14122153/10^5</f>
        <v>141.22153</v>
      </c>
      <c r="D116" s="3">
        <f>4166198/10^5</f>
        <v>41.66198</v>
      </c>
      <c r="E116" s="3"/>
      <c r="F116" s="3"/>
      <c r="G116" s="3">
        <f>9955955/10^5</f>
        <v>99.559550000000002</v>
      </c>
      <c r="H116" s="3">
        <f>3440999999/10^7</f>
        <v>344.0999999</v>
      </c>
      <c r="I116" s="3">
        <f>3441/10^1</f>
        <v>344.1</v>
      </c>
      <c r="J116" s="3">
        <f>17645/10^2</f>
        <v>176.45</v>
      </c>
      <c r="K116" s="3">
        <f>1142598628/10^8</f>
        <v>11.42598628</v>
      </c>
      <c r="L116" s="3">
        <f>64240122/10^8</f>
        <v>0.64240122</v>
      </c>
      <c r="M116" s="3">
        <f>554869861/10^8</f>
        <v>5.5486986099999998</v>
      </c>
      <c r="N116" s="5"/>
    </row>
    <row r="117" spans="1:14" x14ac:dyDescent="0.3">
      <c r="A117" s="7">
        <v>44628.197916666664</v>
      </c>
      <c r="B117" s="7">
        <v>44628.208333333336</v>
      </c>
      <c r="C117" s="3">
        <f>16274669/10^5</f>
        <v>162.74669</v>
      </c>
      <c r="D117" s="3">
        <f>3473132/10^5</f>
        <v>34.731319999999997</v>
      </c>
      <c r="E117" s="3"/>
      <c r="F117" s="3"/>
      <c r="G117" s="3">
        <f>12801537/10^5</f>
        <v>128.01536999999999</v>
      </c>
      <c r="H117" s="3">
        <f>3443999999/10^7</f>
        <v>344.39999990000001</v>
      </c>
      <c r="I117" s="3">
        <f>3444/10^1</f>
        <v>344.4</v>
      </c>
      <c r="J117" s="3">
        <f>17645/10^2</f>
        <v>176.45</v>
      </c>
      <c r="K117" s="3">
        <f>1097789198/10^8</f>
        <v>10.977891980000001</v>
      </c>
      <c r="L117" s="3">
        <f>71166756/10^8</f>
        <v>0.71166755999999998</v>
      </c>
      <c r="M117" s="3">
        <f>-28662083/10^7</f>
        <v>-2.8662082999999998</v>
      </c>
      <c r="N117" s="5"/>
    </row>
    <row r="118" spans="1:14" x14ac:dyDescent="0.3">
      <c r="A118" s="7">
        <v>44628.208333333336</v>
      </c>
      <c r="B118" s="7">
        <v>44628.21875</v>
      </c>
      <c r="C118" s="3">
        <f>16068956/10^5</f>
        <v>160.68956</v>
      </c>
      <c r="D118" s="3">
        <f>4774007/10^5</f>
        <v>47.740070000000003</v>
      </c>
      <c r="E118" s="3"/>
      <c r="F118" s="3"/>
      <c r="G118" s="3">
        <f>11294949/10^5</f>
        <v>112.94949</v>
      </c>
      <c r="H118" s="3">
        <f>467/10^0</f>
        <v>467</v>
      </c>
      <c r="I118" s="3">
        <f>467/10^0</f>
        <v>467</v>
      </c>
      <c r="J118" s="3">
        <f>13889/10^2</f>
        <v>138.88999999999999</v>
      </c>
      <c r="K118" s="3">
        <f>1692726217/10^8</f>
        <v>16.927262169999999</v>
      </c>
      <c r="L118" s="3">
        <f>1136855425/10^8</f>
        <v>11.368554250000001</v>
      </c>
      <c r="M118" s="3">
        <f>9777153/10^6</f>
        <v>9.7771530000000002</v>
      </c>
      <c r="N118" s="5"/>
    </row>
    <row r="119" spans="1:14" x14ac:dyDescent="0.3">
      <c r="A119" s="7">
        <v>44628.21875</v>
      </c>
      <c r="B119" s="7">
        <v>44628.229166666664</v>
      </c>
      <c r="C119" s="3">
        <f>16479364/10^5</f>
        <v>164.79364000000001</v>
      </c>
      <c r="D119" s="3">
        <f>337152/10^4</f>
        <v>33.715200000000003</v>
      </c>
      <c r="E119" s="3"/>
      <c r="F119" s="3"/>
      <c r="G119" s="3">
        <f>13107844/10^5</f>
        <v>131.07844</v>
      </c>
      <c r="H119" s="3">
        <f>467/10^0</f>
        <v>467</v>
      </c>
      <c r="I119" s="3">
        <f>467/10^0</f>
        <v>467</v>
      </c>
      <c r="J119" s="3">
        <f>17645/10^2</f>
        <v>176.45</v>
      </c>
      <c r="K119" s="3">
        <f>1684763261/10^8</f>
        <v>16.847632610000002</v>
      </c>
      <c r="L119" s="3">
        <f>1130665317/10^8</f>
        <v>11.306653170000001</v>
      </c>
      <c r="M119" s="3">
        <f>763704896/10^8</f>
        <v>7.6370489600000004</v>
      </c>
      <c r="N119" s="5"/>
    </row>
    <row r="120" spans="1:14" x14ac:dyDescent="0.3">
      <c r="A120" s="7">
        <v>44628.229166666664</v>
      </c>
      <c r="B120" s="7">
        <v>44628.239583333336</v>
      </c>
      <c r="C120" s="3">
        <f>19024135/10^5</f>
        <v>190.24135000000001</v>
      </c>
      <c r="D120" s="3">
        <f>4649036/10^5</f>
        <v>46.490360000000003</v>
      </c>
      <c r="E120" s="3"/>
      <c r="F120" s="3"/>
      <c r="G120" s="3">
        <f>14375099/10^5</f>
        <v>143.75099</v>
      </c>
      <c r="H120" s="3">
        <f>488/10^0</f>
        <v>488</v>
      </c>
      <c r="I120" s="3">
        <f>488/10^0</f>
        <v>488</v>
      </c>
      <c r="J120" s="3">
        <f>17645/10^2</f>
        <v>176.45</v>
      </c>
      <c r="K120" s="3">
        <f>1633318921/10^8</f>
        <v>16.33318921</v>
      </c>
      <c r="L120" s="3">
        <f>465643559/10^8</f>
        <v>4.6564355900000001</v>
      </c>
      <c r="M120" s="3">
        <f>134683953/10^7</f>
        <v>13.468395299999999</v>
      </c>
      <c r="N120" s="5"/>
    </row>
    <row r="121" spans="1:14" x14ac:dyDescent="0.3">
      <c r="A121" s="7">
        <v>44628.239583333336</v>
      </c>
      <c r="B121" s="7">
        <v>44628.25</v>
      </c>
      <c r="C121" s="3">
        <f>1990636/10^4</f>
        <v>199.06360000000001</v>
      </c>
      <c r="D121" s="3">
        <f>4655118/10^5</f>
        <v>46.551180000000002</v>
      </c>
      <c r="E121" s="3"/>
      <c r="F121" s="3"/>
      <c r="G121" s="3">
        <f>15251242/10^5</f>
        <v>152.51241999999999</v>
      </c>
      <c r="H121" s="3">
        <f>4900244223/10^7</f>
        <v>490.02442230000003</v>
      </c>
      <c r="I121" s="3">
        <f>488/10^0</f>
        <v>488</v>
      </c>
      <c r="J121" s="3">
        <f>17645/10^2</f>
        <v>176.45</v>
      </c>
      <c r="K121" s="3">
        <f>1526798884/10^8</f>
        <v>15.267988839999999</v>
      </c>
      <c r="L121" s="3">
        <f>558455723/10^8</f>
        <v>5.5845572299999997</v>
      </c>
      <c r="M121" s="3">
        <f>1386979971/10^8</f>
        <v>13.869799710000001</v>
      </c>
      <c r="N121" s="5"/>
    </row>
    <row r="122" spans="1:14" x14ac:dyDescent="0.3">
      <c r="A122" s="7">
        <v>44628.25</v>
      </c>
      <c r="B122" s="7">
        <v>44628.260416666664</v>
      </c>
      <c r="C122" s="3">
        <f>16442889/10^5</f>
        <v>164.42889</v>
      </c>
      <c r="D122" s="3">
        <f>10134893/10^5</f>
        <v>101.34893</v>
      </c>
      <c r="E122" s="3"/>
      <c r="F122" s="3"/>
      <c r="G122" s="3">
        <f>6307996/10^5</f>
        <v>63.07996</v>
      </c>
      <c r="H122" s="3">
        <f>4009988978/10^7</f>
        <v>400.99889780000001</v>
      </c>
      <c r="I122" s="3">
        <f>40097/10^2</f>
        <v>400.97</v>
      </c>
      <c r="J122" s="3">
        <f>0/10^0</f>
        <v>0</v>
      </c>
      <c r="K122" s="3">
        <f>1456926952/10^8</f>
        <v>14.569269520000001</v>
      </c>
      <c r="L122" s="3">
        <f>1090166983/10^8</f>
        <v>10.901669829999999</v>
      </c>
      <c r="M122" s="3">
        <f>286508541/10^7</f>
        <v>28.6508541</v>
      </c>
      <c r="N122" s="5"/>
    </row>
    <row r="123" spans="1:14" x14ac:dyDescent="0.3">
      <c r="A123" s="7">
        <v>44628.260416666664</v>
      </c>
      <c r="B123" s="7">
        <v>44628.270833333336</v>
      </c>
      <c r="C123" s="3">
        <f>21708991/10^5</f>
        <v>217.08991</v>
      </c>
      <c r="D123" s="3">
        <f>7358713/10^5</f>
        <v>73.587130000000002</v>
      </c>
      <c r="E123" s="3"/>
      <c r="F123" s="3"/>
      <c r="G123" s="3">
        <f>14350278/10^5</f>
        <v>143.50278</v>
      </c>
      <c r="H123" s="3">
        <f>4113219017/10^7</f>
        <v>411.32190170000001</v>
      </c>
      <c r="I123" s="3">
        <f>40147/10^2</f>
        <v>401.47</v>
      </c>
      <c r="J123" s="3">
        <f>17645/10^2</f>
        <v>176.45</v>
      </c>
      <c r="K123" s="3">
        <f>1410365659/10^8</f>
        <v>14.10365659</v>
      </c>
      <c r="L123" s="3">
        <f>1057201033/10^8</f>
        <v>10.572010329999999</v>
      </c>
      <c r="M123" s="3">
        <f>723757379/10^8</f>
        <v>7.2375737899999999</v>
      </c>
      <c r="N123" s="5"/>
    </row>
    <row r="124" spans="1:14" x14ac:dyDescent="0.3">
      <c r="A124" s="7">
        <v>44628.270833333336</v>
      </c>
      <c r="B124" s="7">
        <v>44628.28125</v>
      </c>
      <c r="C124" s="3">
        <f>26410445/10^5</f>
        <v>264.10444999999999</v>
      </c>
      <c r="D124" s="3">
        <f>4842928/10^5</f>
        <v>48.429279999999999</v>
      </c>
      <c r="E124" s="3"/>
      <c r="F124" s="3"/>
      <c r="G124" s="3">
        <f>21567517/10^5</f>
        <v>215.67517000000001</v>
      </c>
      <c r="H124" s="3">
        <f>4703730391/10^7</f>
        <v>470.37303910000003</v>
      </c>
      <c r="I124" s="3">
        <f>467/10^0</f>
        <v>467</v>
      </c>
      <c r="J124" s="3">
        <f>17599/10^2</f>
        <v>175.99</v>
      </c>
      <c r="K124" s="3">
        <f>1416502835/10^8</f>
        <v>14.16502835</v>
      </c>
      <c r="L124" s="3">
        <f>969711227/10^8</f>
        <v>9.6971122699999999</v>
      </c>
      <c r="M124" s="3">
        <f>1016114147/10^8</f>
        <v>10.16114147</v>
      </c>
      <c r="N124" s="5"/>
    </row>
    <row r="125" spans="1:14" x14ac:dyDescent="0.3">
      <c r="A125" s="7">
        <v>44628.28125</v>
      </c>
      <c r="B125" s="7">
        <v>44628.291666666664</v>
      </c>
      <c r="C125" s="3">
        <f>27960627/10^5</f>
        <v>279.60626999999999</v>
      </c>
      <c r="D125" s="3">
        <f>4771497/10^5</f>
        <v>47.714970000000001</v>
      </c>
      <c r="E125" s="3"/>
      <c r="F125" s="3"/>
      <c r="G125" s="3">
        <f>2318913/10^4</f>
        <v>231.8913</v>
      </c>
      <c r="H125" s="3">
        <f>4879999997/10^7</f>
        <v>487.99999969999999</v>
      </c>
      <c r="I125" s="3">
        <f>488/10^0</f>
        <v>488</v>
      </c>
      <c r="J125" s="3">
        <f>176/10^0</f>
        <v>176</v>
      </c>
      <c r="K125" s="3">
        <f>1339290221/10^8</f>
        <v>13.392902210000001</v>
      </c>
      <c r="L125" s="3">
        <f>950032949/10^8</f>
        <v>9.5003294900000004</v>
      </c>
      <c r="M125" s="3">
        <f>1164780563/10^8</f>
        <v>11.647805630000001</v>
      </c>
      <c r="N125" s="5"/>
    </row>
    <row r="126" spans="1:14" x14ac:dyDescent="0.3">
      <c r="A126" s="7">
        <v>44628.291666666664</v>
      </c>
      <c r="B126" s="7">
        <v>44628.302083333336</v>
      </c>
      <c r="C126" s="3">
        <f>21743449/10^5</f>
        <v>217.43449000000001</v>
      </c>
      <c r="D126" s="3">
        <f>6152551/10^5</f>
        <v>61.525509999999997</v>
      </c>
      <c r="E126" s="3"/>
      <c r="F126" s="3"/>
      <c r="G126" s="3">
        <f>15590898/10^5</f>
        <v>155.90898000000001</v>
      </c>
      <c r="H126" s="3">
        <f>4669999998/10^7</f>
        <v>466.99999980000001</v>
      </c>
      <c r="I126" s="3">
        <f>467/10^0</f>
        <v>467</v>
      </c>
      <c r="J126" s="3">
        <f>17329/10^2</f>
        <v>173.29</v>
      </c>
      <c r="K126" s="3">
        <f>1346611052/10^8</f>
        <v>13.466110520000001</v>
      </c>
      <c r="L126" s="3">
        <f>560569824/10^8</f>
        <v>5.6056982399999997</v>
      </c>
      <c r="M126" s="3">
        <f>1165637634/10^8</f>
        <v>11.65637634</v>
      </c>
      <c r="N126" s="5"/>
    </row>
    <row r="127" spans="1:14" x14ac:dyDescent="0.3">
      <c r="A127" s="7">
        <v>44628.302083333336</v>
      </c>
      <c r="B127" s="7">
        <v>44628.3125</v>
      </c>
      <c r="C127" s="3">
        <f>2350616/10^4</f>
        <v>235.0616</v>
      </c>
      <c r="D127" s="3">
        <f>4502191/10^5</f>
        <v>45.021909999999998</v>
      </c>
      <c r="E127" s="3"/>
      <c r="F127" s="3"/>
      <c r="G127" s="3">
        <f>19003969/10^5</f>
        <v>190.03969000000001</v>
      </c>
      <c r="H127" s="3">
        <f>467/10^0</f>
        <v>467</v>
      </c>
      <c r="I127" s="3">
        <f>467/10^0</f>
        <v>467</v>
      </c>
      <c r="J127" s="3">
        <f t="shared" ref="J127:J136" si="7">17645/10^2</f>
        <v>176.45</v>
      </c>
      <c r="K127" s="3">
        <f>1411410355/10^8</f>
        <v>14.114103549999999</v>
      </c>
      <c r="L127" s="3">
        <f>552030228/10^8</f>
        <v>5.5203022800000001</v>
      </c>
      <c r="M127" s="3">
        <f>931973682/10^8</f>
        <v>9.3197368199999993</v>
      </c>
      <c r="N127" s="5"/>
    </row>
    <row r="128" spans="1:14" x14ac:dyDescent="0.3">
      <c r="A128" s="7">
        <v>44628.3125</v>
      </c>
      <c r="B128" s="7">
        <v>44628.322916666664</v>
      </c>
      <c r="C128" s="3">
        <f>27433553/10^5</f>
        <v>274.33553000000001</v>
      </c>
      <c r="D128" s="3">
        <f>6059159/10^5</f>
        <v>60.591589999999997</v>
      </c>
      <c r="E128" s="3"/>
      <c r="F128" s="3"/>
      <c r="G128" s="3">
        <f>21374394/10^5</f>
        <v>213.74394000000001</v>
      </c>
      <c r="H128" s="3">
        <f>4669999999/10^7</f>
        <v>466.99999989999998</v>
      </c>
      <c r="I128" s="3">
        <f>467/10^0</f>
        <v>467</v>
      </c>
      <c r="J128" s="3">
        <f t="shared" si="7"/>
        <v>176.45</v>
      </c>
      <c r="K128" s="3">
        <f>1457289315/10^8</f>
        <v>14.572893150000001</v>
      </c>
      <c r="L128" s="3">
        <f>971715613/10^8</f>
        <v>9.7171561299999993</v>
      </c>
      <c r="M128" s="3">
        <f>1325414176/10^8</f>
        <v>13.25414176</v>
      </c>
      <c r="N128" s="5"/>
    </row>
    <row r="129" spans="1:14" x14ac:dyDescent="0.3">
      <c r="A129" s="7">
        <v>44628.322916666664</v>
      </c>
      <c r="B129" s="7">
        <v>44628.333333333336</v>
      </c>
      <c r="C129" s="3">
        <f>29228656/10^5</f>
        <v>292.28656000000001</v>
      </c>
      <c r="D129" s="3">
        <f>6109803/10^5</f>
        <v>61.098030000000001</v>
      </c>
      <c r="E129" s="3"/>
      <c r="F129" s="3"/>
      <c r="G129" s="3">
        <f>23118853/10^5</f>
        <v>231.18852999999999</v>
      </c>
      <c r="H129" s="3">
        <f>4669999999/10^7</f>
        <v>466.99999989999998</v>
      </c>
      <c r="I129" s="3">
        <f>467/10^0</f>
        <v>467</v>
      </c>
      <c r="J129" s="3">
        <f t="shared" si="7"/>
        <v>176.45</v>
      </c>
      <c r="K129" s="3">
        <f>1383035896/10^8</f>
        <v>13.83035896</v>
      </c>
      <c r="L129" s="3">
        <f>105799662/10^7</f>
        <v>10.579966199999999</v>
      </c>
      <c r="M129" s="3">
        <f>1150704102/10^8</f>
        <v>11.507041020000001</v>
      </c>
      <c r="N129" s="5"/>
    </row>
    <row r="130" spans="1:14" x14ac:dyDescent="0.3">
      <c r="A130" s="7">
        <v>44628.333333333336</v>
      </c>
      <c r="B130" s="7">
        <v>44628.34375</v>
      </c>
      <c r="C130" s="3">
        <f>30893192/10^5</f>
        <v>308.93191999999999</v>
      </c>
      <c r="D130" s="3">
        <f>58041/10^3</f>
        <v>58.040999999999997</v>
      </c>
      <c r="E130" s="3"/>
      <c r="F130" s="3"/>
      <c r="G130" s="3">
        <f>25089092/10^5</f>
        <v>250.89091999999999</v>
      </c>
      <c r="H130" s="3">
        <f>4807169783/10^7</f>
        <v>480.71697829999999</v>
      </c>
      <c r="I130" s="3">
        <f>48054/10^2</f>
        <v>480.54</v>
      </c>
      <c r="J130" s="3">
        <f t="shared" si="7"/>
        <v>176.45</v>
      </c>
      <c r="K130" s="3">
        <f>154774918/10^7</f>
        <v>15.477491799999999</v>
      </c>
      <c r="L130" s="3">
        <f>770288457/10^8</f>
        <v>7.7028845700000002</v>
      </c>
      <c r="M130" s="3">
        <f>1380269876/10^8</f>
        <v>13.80269876</v>
      </c>
      <c r="N130" s="5"/>
    </row>
    <row r="131" spans="1:14" x14ac:dyDescent="0.3">
      <c r="A131" s="7">
        <v>44628.34375</v>
      </c>
      <c r="B131" s="7">
        <v>44628.354166666664</v>
      </c>
      <c r="C131" s="3">
        <f>30461201/10^5</f>
        <v>304.61201</v>
      </c>
      <c r="D131" s="3">
        <f>5041281/10^5</f>
        <v>50.41281</v>
      </c>
      <c r="E131" s="3"/>
      <c r="F131" s="3"/>
      <c r="G131" s="3">
        <f>2541992/10^4</f>
        <v>254.19919999999999</v>
      </c>
      <c r="H131" s="3">
        <f>4807134242/10^7</f>
        <v>480.71342420000002</v>
      </c>
      <c r="I131" s="3">
        <f>48054/10^2</f>
        <v>480.54</v>
      </c>
      <c r="J131" s="3">
        <f t="shared" si="7"/>
        <v>176.45</v>
      </c>
      <c r="K131" s="3">
        <f>1465189208/10^8</f>
        <v>14.65189208</v>
      </c>
      <c r="L131" s="3">
        <f>755727815/10^8</f>
        <v>7.5572781500000001</v>
      </c>
      <c r="M131" s="3">
        <f>897639997/10^8</f>
        <v>8.9763999699999992</v>
      </c>
      <c r="N131" s="5"/>
    </row>
    <row r="132" spans="1:14" x14ac:dyDescent="0.3">
      <c r="A132" s="7">
        <v>44628.354166666664</v>
      </c>
      <c r="B132" s="7">
        <v>44628.364583333336</v>
      </c>
      <c r="C132" s="3">
        <f>31705732/10^5</f>
        <v>317.05732</v>
      </c>
      <c r="D132" s="3">
        <f>5319131/10^5</f>
        <v>53.191310000000001</v>
      </c>
      <c r="E132" s="3"/>
      <c r="F132" s="3"/>
      <c r="G132" s="3">
        <f>26386601/10^5</f>
        <v>263.86601000000002</v>
      </c>
      <c r="H132" s="3">
        <f>4807085564/10^7</f>
        <v>480.70855640000002</v>
      </c>
      <c r="I132" s="3">
        <f>48054/10^2</f>
        <v>480.54</v>
      </c>
      <c r="J132" s="3">
        <f t="shared" si="7"/>
        <v>176.45</v>
      </c>
      <c r="K132" s="3">
        <f>1485366053/10^8</f>
        <v>14.853660530000001</v>
      </c>
      <c r="L132" s="3">
        <f>978287463/10^8</f>
        <v>9.7828746300000002</v>
      </c>
      <c r="M132" s="3">
        <f>908290284/10^8</f>
        <v>9.0829028399999991</v>
      </c>
      <c r="N132" s="5"/>
    </row>
    <row r="133" spans="1:14" x14ac:dyDescent="0.3">
      <c r="A133" s="7">
        <v>44628.364583333336</v>
      </c>
      <c r="B133" s="7">
        <v>44628.375</v>
      </c>
      <c r="C133" s="3">
        <f>31367328/10^5</f>
        <v>313.67327999999998</v>
      </c>
      <c r="D133" s="3">
        <f>6102217/10^5</f>
        <v>61.022170000000003</v>
      </c>
      <c r="E133" s="3"/>
      <c r="F133" s="3"/>
      <c r="G133" s="3">
        <f>25265111/10^5</f>
        <v>252.65110999999999</v>
      </c>
      <c r="H133" s="3">
        <f>4809688188/10^7</f>
        <v>480.96881880000001</v>
      </c>
      <c r="I133" s="3">
        <f>48084/10^2</f>
        <v>480.84</v>
      </c>
      <c r="J133" s="3">
        <f t="shared" si="7"/>
        <v>176.45</v>
      </c>
      <c r="K133" s="3">
        <f>1454502812/10^8</f>
        <v>14.54502812</v>
      </c>
      <c r="L133" s="3">
        <f>968471901/10^8</f>
        <v>9.6847190100000002</v>
      </c>
      <c r="M133" s="3">
        <f>1056004219/10^8</f>
        <v>10.560042190000001</v>
      </c>
      <c r="N133" s="5"/>
    </row>
    <row r="134" spans="1:14" x14ac:dyDescent="0.3">
      <c r="A134" s="7">
        <v>44628.375</v>
      </c>
      <c r="B134" s="7">
        <v>44628.385416666664</v>
      </c>
      <c r="C134" s="3">
        <f>35613933/10^5</f>
        <v>356.13932999999997</v>
      </c>
      <c r="D134" s="3">
        <f>5398017/10^5</f>
        <v>53.980170000000001</v>
      </c>
      <c r="E134" s="3"/>
      <c r="F134" s="3"/>
      <c r="G134" s="3">
        <f>30215916/10^5</f>
        <v>302.15915999999999</v>
      </c>
      <c r="H134" s="3">
        <f>4808074061/10^7</f>
        <v>480.80740609999998</v>
      </c>
      <c r="I134" s="3">
        <f>48054/10^2</f>
        <v>480.54</v>
      </c>
      <c r="J134" s="3">
        <f t="shared" si="7"/>
        <v>176.45</v>
      </c>
      <c r="K134" s="3">
        <f>1458086372/10^8</f>
        <v>14.58086372</v>
      </c>
      <c r="L134" s="3">
        <f>89798747/10^7</f>
        <v>8.9798746999999999</v>
      </c>
      <c r="M134" s="3">
        <f>970736251/10^8</f>
        <v>9.7073625099999994</v>
      </c>
      <c r="N134" s="5"/>
    </row>
    <row r="135" spans="1:14" x14ac:dyDescent="0.3">
      <c r="A135" s="7">
        <v>44628.385416666664</v>
      </c>
      <c r="B135" s="7">
        <v>44628.395833333336</v>
      </c>
      <c r="C135" s="3">
        <f>36287811/10^5</f>
        <v>362.87810999999999</v>
      </c>
      <c r="D135" s="3">
        <f>5790742/10^5</f>
        <v>57.907420000000002</v>
      </c>
      <c r="E135" s="3"/>
      <c r="F135" s="3"/>
      <c r="G135" s="3">
        <f>30497069/10^5</f>
        <v>304.97068999999999</v>
      </c>
      <c r="H135" s="3">
        <f>4808169084/10^7</f>
        <v>480.81690839999999</v>
      </c>
      <c r="I135" s="3">
        <f>48055/10^2</f>
        <v>480.55</v>
      </c>
      <c r="J135" s="3">
        <f t="shared" si="7"/>
        <v>176.45</v>
      </c>
      <c r="K135" s="3">
        <f>1413235395/10^8</f>
        <v>14.132353950000001</v>
      </c>
      <c r="L135" s="3">
        <f>1055595093/10^8</f>
        <v>10.55595093</v>
      </c>
      <c r="M135" s="3">
        <f>93198741/10^7</f>
        <v>9.3198740999999998</v>
      </c>
      <c r="N135" s="5"/>
    </row>
    <row r="136" spans="1:14" x14ac:dyDescent="0.3">
      <c r="A136" s="7">
        <v>44628.395833333336</v>
      </c>
      <c r="B136" s="7">
        <v>44628.40625</v>
      </c>
      <c r="C136" s="3">
        <f>35906012/10^5</f>
        <v>359.06011999999998</v>
      </c>
      <c r="D136" s="3">
        <f>7507093/10^5</f>
        <v>75.070930000000004</v>
      </c>
      <c r="E136" s="3"/>
      <c r="F136" s="3"/>
      <c r="G136" s="3">
        <f>28398919/10^5</f>
        <v>283.98919000000001</v>
      </c>
      <c r="H136" s="3">
        <f>4808183908/10^7</f>
        <v>480.81839079999997</v>
      </c>
      <c r="I136" s="3">
        <f>48055/10^2</f>
        <v>480.55</v>
      </c>
      <c r="J136" s="3">
        <f t="shared" si="7"/>
        <v>176.45</v>
      </c>
      <c r="K136" s="3">
        <f>1369477019/10^8</f>
        <v>13.69477019</v>
      </c>
      <c r="L136" s="3">
        <f>1611929934/10^8</f>
        <v>16.119299340000001</v>
      </c>
      <c r="M136" s="3">
        <f>125595897/10^7</f>
        <v>12.5595897</v>
      </c>
      <c r="N136" s="5"/>
    </row>
    <row r="137" spans="1:14" x14ac:dyDescent="0.3">
      <c r="A137" s="7">
        <v>44628.40625</v>
      </c>
      <c r="B137" s="7">
        <v>44628.416666666664</v>
      </c>
      <c r="C137" s="3">
        <f>34188225/10^5</f>
        <v>341.88225</v>
      </c>
      <c r="D137" s="3">
        <f>10101586/10^5</f>
        <v>101.01586</v>
      </c>
      <c r="E137" s="3"/>
      <c r="F137" s="3"/>
      <c r="G137" s="3">
        <f>24086639/10^5</f>
        <v>240.86639</v>
      </c>
      <c r="H137" s="3">
        <f>4808154851/10^7</f>
        <v>480.81548509999999</v>
      </c>
      <c r="I137" s="3">
        <f>48055/10^2</f>
        <v>480.55</v>
      </c>
      <c r="J137" s="3">
        <f>17608/10^2</f>
        <v>176.08</v>
      </c>
      <c r="K137" s="3">
        <f>1356125515/10^8</f>
        <v>13.561255149999999</v>
      </c>
      <c r="L137" s="3">
        <f>1614899186/10^8</f>
        <v>16.148991859999999</v>
      </c>
      <c r="M137" s="3">
        <f>1423355864/10^8</f>
        <v>14.23355864</v>
      </c>
      <c r="N137" s="5"/>
    </row>
    <row r="138" spans="1:14" x14ac:dyDescent="0.3">
      <c r="A138" s="7">
        <v>44628.416666666664</v>
      </c>
      <c r="B138" s="7">
        <v>44628.427083333336</v>
      </c>
      <c r="C138" s="3">
        <f>33664996/10^5</f>
        <v>336.64996000000002</v>
      </c>
      <c r="D138" s="3">
        <f>8286514/10^5</f>
        <v>82.865139999999997</v>
      </c>
      <c r="E138" s="3"/>
      <c r="F138" s="3"/>
      <c r="G138" s="3">
        <f>25378482/10^5</f>
        <v>253.78482</v>
      </c>
      <c r="H138" s="3">
        <f>5014194895/10^7</f>
        <v>501.4194895</v>
      </c>
      <c r="I138" s="3">
        <f>497/10^0</f>
        <v>497</v>
      </c>
      <c r="J138" s="3">
        <f>17608/10^2</f>
        <v>176.08</v>
      </c>
      <c r="K138" s="3">
        <f>1438001236/10^8</f>
        <v>14.38001236</v>
      </c>
      <c r="L138" s="3">
        <f>1216572419/10^8</f>
        <v>12.165724190000001</v>
      </c>
      <c r="M138" s="3">
        <f>1599818313/10^8</f>
        <v>15.998183129999999</v>
      </c>
      <c r="N138" s="5"/>
    </row>
    <row r="139" spans="1:14" x14ac:dyDescent="0.3">
      <c r="A139" s="7">
        <v>44628.427083333336</v>
      </c>
      <c r="B139" s="7">
        <v>44628.4375</v>
      </c>
      <c r="C139" s="3">
        <f>32559643/10^5</f>
        <v>325.59643</v>
      </c>
      <c r="D139" s="3">
        <f>784254/10^4</f>
        <v>78.425399999999996</v>
      </c>
      <c r="E139" s="3"/>
      <c r="F139" s="3"/>
      <c r="G139" s="3">
        <f>24717103/10^5</f>
        <v>247.17103</v>
      </c>
      <c r="H139" s="3">
        <f>5002069761/10^7</f>
        <v>500.20697610000002</v>
      </c>
      <c r="I139" s="3">
        <f>497/10^0</f>
        <v>497</v>
      </c>
      <c r="J139" s="3">
        <f>17645/10^2</f>
        <v>176.45</v>
      </c>
      <c r="K139" s="3">
        <f>1389005777/10^8</f>
        <v>13.89005777</v>
      </c>
      <c r="L139" s="3">
        <f>1212262381/10^8</f>
        <v>12.12262381</v>
      </c>
      <c r="M139" s="3">
        <f>1404523913/10^8</f>
        <v>14.045239130000001</v>
      </c>
      <c r="N139" s="5"/>
    </row>
    <row r="140" spans="1:14" x14ac:dyDescent="0.3">
      <c r="A140" s="7">
        <v>44628.4375</v>
      </c>
      <c r="B140" s="7">
        <v>44628.447916666664</v>
      </c>
      <c r="C140" s="3">
        <f>28048039/10^5</f>
        <v>280.48039</v>
      </c>
      <c r="D140" s="3">
        <f>8807073/10^5</f>
        <v>88.070729999999998</v>
      </c>
      <c r="E140" s="3"/>
      <c r="F140" s="3"/>
      <c r="G140" s="3">
        <f>19240966/10^5</f>
        <v>192.40966</v>
      </c>
      <c r="H140" s="3">
        <f>4973174263/10^7</f>
        <v>497.31742630000002</v>
      </c>
      <c r="I140" s="3">
        <f>497/10^0</f>
        <v>497</v>
      </c>
      <c r="J140" s="3">
        <f>17599/10^2</f>
        <v>175.99</v>
      </c>
      <c r="K140" s="3">
        <f>1407782227/10^8</f>
        <v>14.07782227</v>
      </c>
      <c r="L140" s="3">
        <f>1095429433/10^8</f>
        <v>10.95429433</v>
      </c>
      <c r="M140" s="3">
        <f>1481085886/10^8</f>
        <v>14.81085886</v>
      </c>
      <c r="N140" s="5"/>
    </row>
    <row r="141" spans="1:14" x14ac:dyDescent="0.3">
      <c r="A141" s="7">
        <v>44628.447916666664</v>
      </c>
      <c r="B141" s="7">
        <v>44628.458333333336</v>
      </c>
      <c r="C141" s="3">
        <f>25599955/10^5</f>
        <v>255.99955</v>
      </c>
      <c r="D141" s="3">
        <f>7705148/10^5</f>
        <v>77.051479999999998</v>
      </c>
      <c r="E141" s="3"/>
      <c r="F141" s="3"/>
      <c r="G141" s="3">
        <f>17894807/10^5</f>
        <v>178.94807</v>
      </c>
      <c r="H141" s="3">
        <f>4974893342/10^7</f>
        <v>497.48933419999997</v>
      </c>
      <c r="I141" s="3">
        <f>497/10^0</f>
        <v>497</v>
      </c>
      <c r="J141" s="3">
        <f t="shared" ref="J141:J153" si="8">17645/10^2</f>
        <v>176.45</v>
      </c>
      <c r="K141" s="3">
        <f>1415017263/10^8</f>
        <v>14.15017263</v>
      </c>
      <c r="L141" s="3">
        <f>1093488502/10^8</f>
        <v>10.934885019999999</v>
      </c>
      <c r="M141" s="3">
        <f>1317007774/10^8</f>
        <v>13.17007774</v>
      </c>
      <c r="N141" s="5"/>
    </row>
    <row r="142" spans="1:14" x14ac:dyDescent="0.3">
      <c r="A142" s="7">
        <v>44628.458333333336</v>
      </c>
      <c r="B142" s="7">
        <v>44628.46875</v>
      </c>
      <c r="C142" s="3">
        <f>23777314/10^5</f>
        <v>237.77314000000001</v>
      </c>
      <c r="D142" s="3">
        <f>7444446/10^5</f>
        <v>74.444460000000007</v>
      </c>
      <c r="E142" s="3"/>
      <c r="F142" s="3"/>
      <c r="G142" s="3">
        <f>16332868/10^5</f>
        <v>163.32867999999999</v>
      </c>
      <c r="H142" s="3">
        <f>4671870153/10^7</f>
        <v>467.18701529999998</v>
      </c>
      <c r="I142" s="3">
        <f t="shared" ref="I142:I153" si="9">467/10^0</f>
        <v>467</v>
      </c>
      <c r="J142" s="3">
        <f t="shared" si="8"/>
        <v>176.45</v>
      </c>
      <c r="K142" s="3">
        <f>1351496263/10^8</f>
        <v>13.514962629999999</v>
      </c>
      <c r="L142" s="3">
        <f>384003365/10^8</f>
        <v>3.8400336500000001</v>
      </c>
      <c r="M142" s="3">
        <f>1245171546/10^8</f>
        <v>12.451715460000001</v>
      </c>
      <c r="N142" s="5"/>
    </row>
    <row r="143" spans="1:14" x14ac:dyDescent="0.3">
      <c r="A143" s="7">
        <v>44628.46875</v>
      </c>
      <c r="B143" s="7">
        <v>44628.479166666664</v>
      </c>
      <c r="C143" s="3">
        <f>22392154/10^5</f>
        <v>223.92153999999999</v>
      </c>
      <c r="D143" s="3">
        <f>7380435/10^5</f>
        <v>73.804349999999999</v>
      </c>
      <c r="E143" s="3"/>
      <c r="F143" s="3"/>
      <c r="G143" s="3">
        <f>15011719/10^5</f>
        <v>150.11718999999999</v>
      </c>
      <c r="H143" s="3">
        <f>467064699/10^6</f>
        <v>467.06469900000002</v>
      </c>
      <c r="I143" s="3">
        <f t="shared" si="9"/>
        <v>467</v>
      </c>
      <c r="J143" s="3">
        <f t="shared" si="8"/>
        <v>176.45</v>
      </c>
      <c r="K143" s="3">
        <f>1367490364/10^8</f>
        <v>13.67490364</v>
      </c>
      <c r="L143" s="3">
        <f>379125977/10^8</f>
        <v>3.7912597699999999</v>
      </c>
      <c r="M143" s="3">
        <f>1043564177/10^8</f>
        <v>10.43564177</v>
      </c>
      <c r="N143" s="5"/>
    </row>
    <row r="144" spans="1:14" x14ac:dyDescent="0.3">
      <c r="A144" s="7">
        <v>44628.479166666664</v>
      </c>
      <c r="B144" s="7">
        <v>44628.489583333336</v>
      </c>
      <c r="C144" s="3">
        <f>24253274/10^5</f>
        <v>242.53273999999999</v>
      </c>
      <c r="D144" s="3">
        <f>991615/10^4</f>
        <v>99.161500000000004</v>
      </c>
      <c r="E144" s="3"/>
      <c r="F144" s="3"/>
      <c r="G144" s="3">
        <f>14337124/10^5</f>
        <v>143.37124</v>
      </c>
      <c r="H144" s="3">
        <f>4675888467/10^7</f>
        <v>467.58884669999998</v>
      </c>
      <c r="I144" s="3">
        <f t="shared" si="9"/>
        <v>467</v>
      </c>
      <c r="J144" s="3">
        <f t="shared" si="8"/>
        <v>176.45</v>
      </c>
      <c r="K144" s="3">
        <f>1422503495/10^8</f>
        <v>14.22503495</v>
      </c>
      <c r="L144" s="3">
        <f>131054731/10^7</f>
        <v>13.105473099999999</v>
      </c>
      <c r="M144" s="3">
        <f>1598043814/10^8</f>
        <v>15.98043814</v>
      </c>
      <c r="N144" s="5"/>
    </row>
    <row r="145" spans="1:14" x14ac:dyDescent="0.3">
      <c r="A145" s="7">
        <v>44628.489583333336</v>
      </c>
      <c r="B145" s="7">
        <v>44628.5</v>
      </c>
      <c r="C145" s="3">
        <f>24212027/10^5</f>
        <v>242.12027</v>
      </c>
      <c r="D145" s="3">
        <f>908538/10^4</f>
        <v>90.853800000000007</v>
      </c>
      <c r="E145" s="3"/>
      <c r="F145" s="3"/>
      <c r="G145" s="3">
        <f>15126647/10^5</f>
        <v>151.26647</v>
      </c>
      <c r="H145" s="3">
        <f>4674074843/10^7</f>
        <v>467.40748430000002</v>
      </c>
      <c r="I145" s="3">
        <f t="shared" si="9"/>
        <v>467</v>
      </c>
      <c r="J145" s="3">
        <f t="shared" si="8"/>
        <v>176.45</v>
      </c>
      <c r="K145" s="3">
        <f>140349577/10^7</f>
        <v>14.0349577</v>
      </c>
      <c r="L145" s="3">
        <f>1310286947/10^8</f>
        <v>13.10286947</v>
      </c>
      <c r="M145" s="3">
        <f>1412948075/10^8</f>
        <v>14.129480750000001</v>
      </c>
      <c r="N145" s="5"/>
    </row>
    <row r="146" spans="1:14" x14ac:dyDescent="0.3">
      <c r="A146" s="7">
        <v>44628.5</v>
      </c>
      <c r="B146" s="7">
        <v>44628.510416666664</v>
      </c>
      <c r="C146" s="3">
        <f>20372133/10^5</f>
        <v>203.72132999999999</v>
      </c>
      <c r="D146" s="3">
        <f>13137974/10^5</f>
        <v>131.37974</v>
      </c>
      <c r="E146" s="3"/>
      <c r="F146" s="3"/>
      <c r="G146" s="3">
        <f>7234159/10^5</f>
        <v>72.341589999999997</v>
      </c>
      <c r="H146" s="3">
        <f>4670557066/10^7</f>
        <v>467.05570660000001</v>
      </c>
      <c r="I146" s="3">
        <f t="shared" si="9"/>
        <v>467</v>
      </c>
      <c r="J146" s="3">
        <f t="shared" si="8"/>
        <v>176.45</v>
      </c>
      <c r="K146" s="3">
        <f>1319169787/10^8</f>
        <v>13.19169787</v>
      </c>
      <c r="L146" s="3">
        <f>1447899436/10^8</f>
        <v>14.47899436</v>
      </c>
      <c r="M146" s="3">
        <f>2276977487/10^8</f>
        <v>22.769774869999999</v>
      </c>
      <c r="N146" s="5"/>
    </row>
    <row r="147" spans="1:14" x14ac:dyDescent="0.3">
      <c r="A147" s="7">
        <v>44628.510416666664</v>
      </c>
      <c r="B147" s="7">
        <v>44628.520833333336</v>
      </c>
      <c r="C147" s="3">
        <f>20225572/10^5</f>
        <v>202.25572</v>
      </c>
      <c r="D147" s="3">
        <f>13577173/10^5</f>
        <v>135.77172999999999</v>
      </c>
      <c r="E147" s="3"/>
      <c r="F147" s="3"/>
      <c r="G147" s="3">
        <f>6648399/10^5</f>
        <v>66.483990000000006</v>
      </c>
      <c r="H147" s="3">
        <f>4670083531/10^7</f>
        <v>467.00835310000002</v>
      </c>
      <c r="I147" s="3">
        <f t="shared" si="9"/>
        <v>467</v>
      </c>
      <c r="J147" s="3">
        <f t="shared" si="8"/>
        <v>176.45</v>
      </c>
      <c r="K147" s="3">
        <f>1304120316/10^8</f>
        <v>13.04120316</v>
      </c>
      <c r="L147" s="3">
        <f>1446266342/10^8</f>
        <v>14.46266342</v>
      </c>
      <c r="M147" s="3">
        <f>1874999775/10^8</f>
        <v>18.749997749999999</v>
      </c>
      <c r="N147" s="5"/>
    </row>
    <row r="148" spans="1:14" x14ac:dyDescent="0.3">
      <c r="A148" s="7">
        <v>44628.520833333336</v>
      </c>
      <c r="B148" s="7">
        <v>44628.53125</v>
      </c>
      <c r="C148" s="3">
        <f>19153754/10^5</f>
        <v>191.53754000000001</v>
      </c>
      <c r="D148" s="3">
        <f>14142421/10^5</f>
        <v>141.42420999999999</v>
      </c>
      <c r="E148" s="3"/>
      <c r="F148" s="3"/>
      <c r="G148" s="3">
        <f>5011333/10^5</f>
        <v>50.113329999999998</v>
      </c>
      <c r="H148" s="3">
        <f>4671493888/10^7</f>
        <v>467.1493888</v>
      </c>
      <c r="I148" s="3">
        <f t="shared" si="9"/>
        <v>467</v>
      </c>
      <c r="J148" s="3">
        <f t="shared" si="8"/>
        <v>176.45</v>
      </c>
      <c r="K148" s="3">
        <f>1333377463/10^8</f>
        <v>13.333774630000001</v>
      </c>
      <c r="L148" s="3">
        <f>821069296/10^8</f>
        <v>8.2106929599999994</v>
      </c>
      <c r="M148" s="3">
        <f>1988081827/10^8</f>
        <v>19.880818269999999</v>
      </c>
      <c r="N148" s="5"/>
    </row>
    <row r="149" spans="1:14" x14ac:dyDescent="0.3">
      <c r="A149" s="7">
        <v>44628.53125</v>
      </c>
      <c r="B149" s="7">
        <v>44628.541666666664</v>
      </c>
      <c r="C149" s="3">
        <f>1408487/10^4</f>
        <v>140.84870000000001</v>
      </c>
      <c r="D149" s="3">
        <f>1123523/10^4</f>
        <v>112.3523</v>
      </c>
      <c r="E149" s="3"/>
      <c r="F149" s="3"/>
      <c r="G149" s="3">
        <f>284964/10^4</f>
        <v>28.496400000000001</v>
      </c>
      <c r="H149" s="3">
        <f>467007184/10^6</f>
        <v>467.007184</v>
      </c>
      <c r="I149" s="3">
        <f t="shared" si="9"/>
        <v>467</v>
      </c>
      <c r="J149" s="3">
        <f t="shared" si="8"/>
        <v>176.45</v>
      </c>
      <c r="K149" s="3">
        <f>1301093313/10^8</f>
        <v>13.01093313</v>
      </c>
      <c r="L149" s="3">
        <f>828750426/10^8</f>
        <v>8.2875042600000004</v>
      </c>
      <c r="M149" s="3">
        <f>1980449472/10^8</f>
        <v>19.804494720000001</v>
      </c>
      <c r="N149" s="5"/>
    </row>
    <row r="150" spans="1:14" x14ac:dyDescent="0.3">
      <c r="A150" s="7">
        <v>44628.541666666664</v>
      </c>
      <c r="B150" s="7">
        <v>44628.552083333336</v>
      </c>
      <c r="C150" s="3">
        <f>11427339/10^5</f>
        <v>114.27339000000001</v>
      </c>
      <c r="D150" s="3">
        <f>921769/10^4</f>
        <v>92.176900000000003</v>
      </c>
      <c r="E150" s="3"/>
      <c r="F150" s="3"/>
      <c r="G150" s="3">
        <f>2209649/10^5</f>
        <v>22.096489999999999</v>
      </c>
      <c r="H150" s="3">
        <f>4671452107/10^7</f>
        <v>467.14521070000001</v>
      </c>
      <c r="I150" s="3">
        <f t="shared" si="9"/>
        <v>467</v>
      </c>
      <c r="J150" s="3">
        <f t="shared" si="8"/>
        <v>176.45</v>
      </c>
      <c r="K150" s="3">
        <f>1203459795/10^8</f>
        <v>12.03459795</v>
      </c>
      <c r="L150" s="3">
        <f>945100974/10^8</f>
        <v>9.4510097399999999</v>
      </c>
      <c r="M150" s="3">
        <f>1457657659/10^8</f>
        <v>14.57657659</v>
      </c>
      <c r="N150" s="5"/>
    </row>
    <row r="151" spans="1:14" x14ac:dyDescent="0.3">
      <c r="A151" s="7">
        <v>44628.552083333336</v>
      </c>
      <c r="B151" s="7">
        <v>44628.5625</v>
      </c>
      <c r="C151" s="3">
        <f>14528558/10^5</f>
        <v>145.28558000000001</v>
      </c>
      <c r="D151" s="3">
        <f>13022106/10^5</f>
        <v>130.22105999999999</v>
      </c>
      <c r="E151" s="3"/>
      <c r="F151" s="3"/>
      <c r="G151" s="3">
        <f>1506452/10^5</f>
        <v>15.06452</v>
      </c>
      <c r="H151" s="3">
        <f>4683163309/10^7</f>
        <v>468.31633090000003</v>
      </c>
      <c r="I151" s="3">
        <f t="shared" si="9"/>
        <v>467</v>
      </c>
      <c r="J151" s="3">
        <f t="shared" si="8"/>
        <v>176.45</v>
      </c>
      <c r="K151" s="3">
        <f>1134834946/10^8</f>
        <v>11.34834946</v>
      </c>
      <c r="L151" s="3">
        <f>945305084/10^8</f>
        <v>9.4530508399999995</v>
      </c>
      <c r="M151" s="3">
        <f>1974509634/10^8</f>
        <v>19.74509634</v>
      </c>
      <c r="N151" s="5"/>
    </row>
    <row r="152" spans="1:14" x14ac:dyDescent="0.3">
      <c r="A152" s="7">
        <v>44628.5625</v>
      </c>
      <c r="B152" s="7">
        <v>44628.572916666664</v>
      </c>
      <c r="C152" s="3">
        <f>11713419/10^5</f>
        <v>117.13419</v>
      </c>
      <c r="D152" s="3">
        <f>10597114/10^5</f>
        <v>105.97114000000001</v>
      </c>
      <c r="E152" s="3"/>
      <c r="F152" s="3"/>
      <c r="G152" s="3">
        <f>1116305/10^5</f>
        <v>11.16305</v>
      </c>
      <c r="H152" s="3">
        <f>4674507143/10^7</f>
        <v>467.45071430000002</v>
      </c>
      <c r="I152" s="3">
        <f t="shared" si="9"/>
        <v>467</v>
      </c>
      <c r="J152" s="3">
        <f t="shared" si="8"/>
        <v>176.45</v>
      </c>
      <c r="K152" s="3">
        <f>1276617652/10^8</f>
        <v>12.76617652</v>
      </c>
      <c r="L152" s="3">
        <f>1185659022/10^8</f>
        <v>11.856590219999999</v>
      </c>
      <c r="M152" s="3">
        <f>1553192094/10^8</f>
        <v>15.531920939999999</v>
      </c>
      <c r="N152" s="5"/>
    </row>
    <row r="153" spans="1:14" x14ac:dyDescent="0.3">
      <c r="A153" s="7">
        <v>44628.572916666664</v>
      </c>
      <c r="B153" s="7">
        <v>44628.583333333336</v>
      </c>
      <c r="C153" s="3">
        <f>10792824/10^5</f>
        <v>107.92824</v>
      </c>
      <c r="D153" s="3">
        <f>11228305/10^5</f>
        <v>112.28305</v>
      </c>
      <c r="E153" s="3"/>
      <c r="F153" s="3"/>
      <c r="G153" s="3">
        <f>-435481/10^5</f>
        <v>-4.3548099999999996</v>
      </c>
      <c r="H153" s="3">
        <f>1735504415/10^7</f>
        <v>173.55044150000001</v>
      </c>
      <c r="I153" s="3">
        <f t="shared" si="9"/>
        <v>467</v>
      </c>
      <c r="J153" s="3">
        <f t="shared" si="8"/>
        <v>176.45</v>
      </c>
      <c r="K153" s="3">
        <f>1246057998/10^8</f>
        <v>12.46057998</v>
      </c>
      <c r="L153" s="3">
        <f>1069260796/10^8</f>
        <v>10.69260796</v>
      </c>
      <c r="M153" s="3">
        <f>1805578483/10^8</f>
        <v>18.05578483</v>
      </c>
      <c r="N153" s="5"/>
    </row>
    <row r="154" spans="1:14" x14ac:dyDescent="0.3">
      <c r="A154" s="7">
        <v>44628.583333333336</v>
      </c>
      <c r="B154" s="7">
        <v>44628.59375</v>
      </c>
      <c r="C154" s="3">
        <f>18528298/10^5</f>
        <v>185.28298000000001</v>
      </c>
      <c r="D154" s="3">
        <f>22274598/10^5</f>
        <v>222.74598</v>
      </c>
      <c r="E154" s="3"/>
      <c r="F154" s="3"/>
      <c r="G154" s="3">
        <f>-37463/10^3</f>
        <v>-37.463000000000001</v>
      </c>
      <c r="H154" s="3">
        <f>1743674877/10^7</f>
        <v>174.3674877</v>
      </c>
      <c r="I154" s="3">
        <f>49696/10^2</f>
        <v>496.96</v>
      </c>
      <c r="J154" s="3">
        <f>17577/10^2</f>
        <v>175.77</v>
      </c>
      <c r="K154" s="3">
        <f>1551279864/10^8</f>
        <v>15.51279864</v>
      </c>
      <c r="L154" s="3">
        <f>851620164/10^8</f>
        <v>8.5162016400000002</v>
      </c>
      <c r="M154" s="3">
        <f>3600575446/10^8</f>
        <v>36.005754459999999</v>
      </c>
      <c r="N154" s="5"/>
    </row>
    <row r="155" spans="1:14" x14ac:dyDescent="0.3">
      <c r="A155" s="7">
        <v>44628.59375</v>
      </c>
      <c r="B155" s="7">
        <v>44628.604166666664</v>
      </c>
      <c r="C155" s="3">
        <f>16666591/10^5</f>
        <v>166.66591</v>
      </c>
      <c r="D155" s="3">
        <f>11863904/10^5</f>
        <v>118.63903999999999</v>
      </c>
      <c r="E155" s="3"/>
      <c r="F155" s="3"/>
      <c r="G155" s="3">
        <f>4802687/10^5</f>
        <v>48.026870000000002</v>
      </c>
      <c r="H155" s="3">
        <f>4984137865/10^7</f>
        <v>498.41378650000001</v>
      </c>
      <c r="I155" s="3">
        <f>49696/10^2</f>
        <v>496.96</v>
      </c>
      <c r="J155" s="3">
        <f>17389/10^2</f>
        <v>173.89</v>
      </c>
      <c r="K155" s="3">
        <f>1494622002/10^8</f>
        <v>14.94622002</v>
      </c>
      <c r="L155" s="3">
        <f>842106551/10^8</f>
        <v>8.42106551</v>
      </c>
      <c r="M155" s="3">
        <f>2162534156/10^8</f>
        <v>21.625341559999999</v>
      </c>
      <c r="N155" s="5"/>
    </row>
    <row r="156" spans="1:14" x14ac:dyDescent="0.3">
      <c r="A156" s="7">
        <v>44628.604166666664</v>
      </c>
      <c r="B156" s="7">
        <v>44628.614583333336</v>
      </c>
      <c r="C156" s="3">
        <f>16159143/10^5</f>
        <v>161.59143</v>
      </c>
      <c r="D156" s="3">
        <f>9147766/10^5</f>
        <v>91.47766</v>
      </c>
      <c r="E156" s="3"/>
      <c r="F156" s="3"/>
      <c r="G156" s="3">
        <f>7011377/10^5</f>
        <v>70.113770000000002</v>
      </c>
      <c r="H156" s="3">
        <f>4978341646/10^7</f>
        <v>497.83416460000001</v>
      </c>
      <c r="I156" s="3">
        <f>49696/10^2</f>
        <v>496.96</v>
      </c>
      <c r="J156" s="3">
        <f>17645/10^2</f>
        <v>176.45</v>
      </c>
      <c r="K156" s="3">
        <f>1514551973/10^8</f>
        <v>15.14551973</v>
      </c>
      <c r="L156" s="3">
        <f>455073468/10^8</f>
        <v>4.5507346799999997</v>
      </c>
      <c r="M156" s="3">
        <f>1417418222/10^8</f>
        <v>14.17418222</v>
      </c>
      <c r="N156" s="5"/>
    </row>
    <row r="157" spans="1:14" x14ac:dyDescent="0.3">
      <c r="A157" s="7">
        <v>44628.614583333336</v>
      </c>
      <c r="B157" s="7">
        <v>44628.625</v>
      </c>
      <c r="C157" s="3">
        <f>21052129/10^5</f>
        <v>210.52128999999999</v>
      </c>
      <c r="D157" s="3">
        <f>7820357/10^5</f>
        <v>78.203569999999999</v>
      </c>
      <c r="E157" s="3"/>
      <c r="F157" s="3"/>
      <c r="G157" s="3">
        <f>13231772/10^5</f>
        <v>132.31772000000001</v>
      </c>
      <c r="H157" s="3">
        <f>5018533018/10^7</f>
        <v>501.8533018</v>
      </c>
      <c r="I157" s="3">
        <f>49696/10^2</f>
        <v>496.96</v>
      </c>
      <c r="J157" s="3">
        <f>17645/10^2</f>
        <v>176.45</v>
      </c>
      <c r="K157" s="3">
        <f>1441221377/10^8</f>
        <v>14.412213769999999</v>
      </c>
      <c r="L157" s="3">
        <f>455441401/10^8</f>
        <v>4.5544140100000003</v>
      </c>
      <c r="M157" s="3">
        <f>1119781224/10^8</f>
        <v>11.197812239999999</v>
      </c>
      <c r="N157" s="5"/>
    </row>
    <row r="158" spans="1:14" x14ac:dyDescent="0.3">
      <c r="A158" s="7">
        <v>44628.625</v>
      </c>
      <c r="B158" s="7">
        <v>44628.635416666664</v>
      </c>
      <c r="C158" s="3">
        <f>16113473/10^5</f>
        <v>161.13472999999999</v>
      </c>
      <c r="D158" s="3">
        <f>5668395/10^5</f>
        <v>56.683950000000003</v>
      </c>
      <c r="E158" s="3"/>
      <c r="F158" s="3"/>
      <c r="G158" s="3">
        <f>10445078/10^5</f>
        <v>104.45077999999999</v>
      </c>
      <c r="H158" s="3">
        <f>4990844989/10^7</f>
        <v>499.08449890000003</v>
      </c>
      <c r="I158" s="3">
        <f>49581/10^2</f>
        <v>495.81</v>
      </c>
      <c r="J158" s="3">
        <f>176/10^0</f>
        <v>176</v>
      </c>
      <c r="K158" s="3">
        <f>1413401609/10^8</f>
        <v>14.134016089999999</v>
      </c>
      <c r="L158" s="3">
        <f>535213659/10^8</f>
        <v>5.3521365899999997</v>
      </c>
      <c r="M158" s="3">
        <f>1034261318/10^8</f>
        <v>10.342613180000001</v>
      </c>
      <c r="N158" s="5"/>
    </row>
    <row r="159" spans="1:14" x14ac:dyDescent="0.3">
      <c r="A159" s="7">
        <v>44628.635416666664</v>
      </c>
      <c r="B159" s="7">
        <v>44628.645833333336</v>
      </c>
      <c r="C159" s="3">
        <f>15696694/10^5</f>
        <v>156.96693999999999</v>
      </c>
      <c r="D159" s="3">
        <f>4584571/10^5</f>
        <v>45.845709999999997</v>
      </c>
      <c r="E159" s="3"/>
      <c r="F159" s="3"/>
      <c r="G159" s="3">
        <f>11112123/10^5</f>
        <v>111.12123</v>
      </c>
      <c r="H159" s="3">
        <f>4989782831/10^7</f>
        <v>498.9782831</v>
      </c>
      <c r="I159" s="3">
        <f>4958/10^1</f>
        <v>495.8</v>
      </c>
      <c r="J159" s="3">
        <f>17645/10^2</f>
        <v>176.45</v>
      </c>
      <c r="K159" s="3">
        <f>1416109521/10^8</f>
        <v>14.161095209999999</v>
      </c>
      <c r="L159" s="3">
        <f>537910917/10^8</f>
        <v>5.3791091700000004</v>
      </c>
      <c r="M159" s="3">
        <f>90910027/10^7</f>
        <v>9.0910027000000007</v>
      </c>
      <c r="N159" s="5"/>
    </row>
    <row r="160" spans="1:14" x14ac:dyDescent="0.3">
      <c r="A160" s="7">
        <v>44628.645833333336</v>
      </c>
      <c r="B160" s="7">
        <v>44628.65625</v>
      </c>
      <c r="C160" s="3">
        <f>1720979/10^4</f>
        <v>172.09790000000001</v>
      </c>
      <c r="D160" s="3">
        <f>4274868/10^5</f>
        <v>42.74868</v>
      </c>
      <c r="E160" s="3"/>
      <c r="F160" s="3"/>
      <c r="G160" s="3">
        <f>12934922/10^5</f>
        <v>129.34922</v>
      </c>
      <c r="H160" s="3">
        <f>4990168498/10^7</f>
        <v>499.01684979999999</v>
      </c>
      <c r="I160" s="3">
        <f>4958/10^1</f>
        <v>495.8</v>
      </c>
      <c r="J160" s="3">
        <f>17645/10^2</f>
        <v>176.45</v>
      </c>
      <c r="K160" s="3">
        <f>1447377337/10^8</f>
        <v>14.47377337</v>
      </c>
      <c r="L160" s="3">
        <f>1181938313/10^8</f>
        <v>11.81938313</v>
      </c>
      <c r="M160" s="3">
        <f>822713042/10^8</f>
        <v>8.2271304199999999</v>
      </c>
      <c r="N160" s="5"/>
    </row>
    <row r="161" spans="1:14" x14ac:dyDescent="0.3">
      <c r="A161" s="7">
        <v>44628.65625</v>
      </c>
      <c r="B161" s="7">
        <v>44628.666666666664</v>
      </c>
      <c r="C161" s="3">
        <f>19451166/10^5</f>
        <v>194.51166000000001</v>
      </c>
      <c r="D161" s="3">
        <f>4300315/10^5</f>
        <v>43.003149999999998</v>
      </c>
      <c r="E161" s="3"/>
      <c r="F161" s="3"/>
      <c r="G161" s="3">
        <f>15150851/10^5</f>
        <v>151.50851</v>
      </c>
      <c r="H161" s="3">
        <f>4986261567/10^7</f>
        <v>498.62615670000002</v>
      </c>
      <c r="I161" s="3">
        <f>4958/10^1</f>
        <v>495.8</v>
      </c>
      <c r="J161" s="3">
        <f>17645/10^2</f>
        <v>176.45</v>
      </c>
      <c r="K161" s="3">
        <f>1462136385/10^8</f>
        <v>14.62136385</v>
      </c>
      <c r="L161" s="3">
        <f>1181363554/10^8</f>
        <v>11.81363554</v>
      </c>
      <c r="M161" s="3">
        <f>747715782/10^8</f>
        <v>7.4771578200000004</v>
      </c>
      <c r="N161" s="5"/>
    </row>
    <row r="162" spans="1:14" x14ac:dyDescent="0.3">
      <c r="A162" s="7">
        <v>44628.666666666664</v>
      </c>
      <c r="B162" s="7">
        <v>44628.677083333336</v>
      </c>
      <c r="C162" s="3">
        <f>16238246/10^5</f>
        <v>162.38246000000001</v>
      </c>
      <c r="D162" s="3">
        <f>5944449/10^5</f>
        <v>59.444490000000002</v>
      </c>
      <c r="E162" s="3"/>
      <c r="F162" s="3"/>
      <c r="G162" s="3">
        <f>10293797/10^5</f>
        <v>102.93797000000001</v>
      </c>
      <c r="H162" s="3">
        <f>5352458987/10^7</f>
        <v>535.2458987</v>
      </c>
      <c r="I162" s="3">
        <f>53521/10^2</f>
        <v>535.21</v>
      </c>
      <c r="J162" s="3">
        <f>172/10^0</f>
        <v>172</v>
      </c>
      <c r="K162" s="3">
        <f>1544850881/10^8</f>
        <v>15.44850881</v>
      </c>
      <c r="L162" s="3">
        <f>865409391/10^8</f>
        <v>8.6540939100000003</v>
      </c>
      <c r="M162" s="3">
        <f>1511974719/10^8</f>
        <v>15.11974719</v>
      </c>
      <c r="N162" s="5"/>
    </row>
    <row r="163" spans="1:14" x14ac:dyDescent="0.3">
      <c r="A163" s="7">
        <v>44628.677083333336</v>
      </c>
      <c r="B163" s="7">
        <v>44628.6875</v>
      </c>
      <c r="C163" s="3">
        <f>15477105/10^5</f>
        <v>154.77105</v>
      </c>
      <c r="D163" s="3">
        <f>5239116/10^5</f>
        <v>52.391159999999999</v>
      </c>
      <c r="E163" s="3"/>
      <c r="F163" s="3"/>
      <c r="G163" s="3">
        <f>10237989/10^5</f>
        <v>102.37989</v>
      </c>
      <c r="H163" s="3">
        <f>5352515243/10^7</f>
        <v>535.25152430000003</v>
      </c>
      <c r="I163" s="3">
        <f>53521/10^2</f>
        <v>535.21</v>
      </c>
      <c r="J163" s="3">
        <f>172/10^0</f>
        <v>172</v>
      </c>
      <c r="K163" s="3">
        <f>1619297364/10^8</f>
        <v>16.192973640000002</v>
      </c>
      <c r="L163" s="3">
        <f>871558426/10^8</f>
        <v>8.71558426</v>
      </c>
      <c r="M163" s="3">
        <f>1085245451/10^8</f>
        <v>10.852454509999999</v>
      </c>
      <c r="N163" s="5"/>
    </row>
    <row r="164" spans="1:14" x14ac:dyDescent="0.3">
      <c r="A164" s="7">
        <v>44628.6875</v>
      </c>
      <c r="B164" s="7">
        <v>44628.697916666664</v>
      </c>
      <c r="C164" s="3">
        <f>1836682/10^4</f>
        <v>183.66820000000001</v>
      </c>
      <c r="D164" s="3">
        <f>4685407/10^5</f>
        <v>46.85407</v>
      </c>
      <c r="E164" s="3"/>
      <c r="F164" s="3"/>
      <c r="G164" s="3">
        <f>13681413/10^5</f>
        <v>136.81413000000001</v>
      </c>
      <c r="H164" s="3">
        <f>5360000947/10^7</f>
        <v>536.00009469999998</v>
      </c>
      <c r="I164" s="3">
        <f>536/10^0</f>
        <v>536</v>
      </c>
      <c r="J164" s="3">
        <f>18981/10^2</f>
        <v>189.81</v>
      </c>
      <c r="K164" s="3">
        <f>1614897497/10^8</f>
        <v>16.148974970000001</v>
      </c>
      <c r="L164" s="3">
        <f>725710904/10^8</f>
        <v>7.2571090399999996</v>
      </c>
      <c r="M164" s="3">
        <f>978379758/10^8</f>
        <v>9.7837975799999999</v>
      </c>
      <c r="N164" s="5"/>
    </row>
    <row r="165" spans="1:14" x14ac:dyDescent="0.3">
      <c r="A165" s="7">
        <v>44628.697916666664</v>
      </c>
      <c r="B165" s="7">
        <v>44628.708333333336</v>
      </c>
      <c r="C165" s="3">
        <f>21693666/10^5</f>
        <v>216.93665999999999</v>
      </c>
      <c r="D165" s="3">
        <f>5777207/10^5</f>
        <v>57.772069999999999</v>
      </c>
      <c r="E165" s="3"/>
      <c r="F165" s="3"/>
      <c r="G165" s="3">
        <f>15916459/10^5</f>
        <v>159.16459</v>
      </c>
      <c r="H165" s="3">
        <f>536010919/10^6</f>
        <v>536.01091899999994</v>
      </c>
      <c r="I165" s="3">
        <f>536/10^0</f>
        <v>536</v>
      </c>
      <c r="J165" s="3">
        <f>18981/10^2</f>
        <v>189.81</v>
      </c>
      <c r="K165" s="3">
        <f>1579139628/10^8</f>
        <v>15.791396280000001</v>
      </c>
      <c r="L165" s="3">
        <f>769459845/10^8</f>
        <v>7.69459845</v>
      </c>
      <c r="M165" s="3">
        <f>1094775843/10^8</f>
        <v>10.94775843</v>
      </c>
      <c r="N165" s="5"/>
    </row>
    <row r="166" spans="1:14" x14ac:dyDescent="0.3">
      <c r="A166" s="7">
        <v>44628.708333333336</v>
      </c>
      <c r="B166" s="7">
        <v>44628.71875</v>
      </c>
      <c r="C166" s="3">
        <f>15672053/10^5</f>
        <v>156.72053</v>
      </c>
      <c r="D166" s="3">
        <f>14868255/10^5</f>
        <v>148.68254999999999</v>
      </c>
      <c r="E166" s="3"/>
      <c r="F166" s="3"/>
      <c r="G166" s="3">
        <f>803798/10^5</f>
        <v>8.0379799999999992</v>
      </c>
      <c r="H166" s="3">
        <f>5499301461/10^7</f>
        <v>549.9301461</v>
      </c>
      <c r="I166" s="3">
        <f>54992/10^2</f>
        <v>549.91999999999996</v>
      </c>
      <c r="J166" s="3">
        <f>0/10^0</f>
        <v>0</v>
      </c>
      <c r="K166" s="3">
        <f>1560625963/10^8</f>
        <v>15.60625963</v>
      </c>
      <c r="L166" s="3">
        <f>1505128068/10^8</f>
        <v>15.05128068</v>
      </c>
      <c r="M166" s="3">
        <f>2329112514/10^8</f>
        <v>23.291125139999998</v>
      </c>
      <c r="N166" s="5"/>
    </row>
    <row r="167" spans="1:14" x14ac:dyDescent="0.3">
      <c r="A167" s="7">
        <v>44628.71875</v>
      </c>
      <c r="B167" s="7">
        <v>44628.729166666664</v>
      </c>
      <c r="C167" s="3">
        <f>15533514/10^5</f>
        <v>155.33514</v>
      </c>
      <c r="D167" s="3">
        <f>774938/10^4</f>
        <v>77.493799999999993</v>
      </c>
      <c r="E167" s="3"/>
      <c r="F167" s="3"/>
      <c r="G167" s="3">
        <f>7784134/10^5</f>
        <v>77.841340000000002</v>
      </c>
      <c r="H167" s="3">
        <f>5502348934/10^7</f>
        <v>550.23489340000003</v>
      </c>
      <c r="I167" s="3">
        <f>54973/10^2</f>
        <v>549.73</v>
      </c>
      <c r="J167" s="3">
        <f>0/10^0</f>
        <v>0</v>
      </c>
      <c r="K167" s="3">
        <f>1556453693/10^8</f>
        <v>15.564536929999999</v>
      </c>
      <c r="L167" s="3">
        <f>1414395095/10^8</f>
        <v>14.143950950000001</v>
      </c>
      <c r="M167" s="3">
        <f>1375496819/10^8</f>
        <v>13.75496819</v>
      </c>
      <c r="N167" s="5"/>
    </row>
    <row r="168" spans="1:14" x14ac:dyDescent="0.3">
      <c r="A168" s="7">
        <v>44628.729166666664</v>
      </c>
      <c r="B168" s="7">
        <v>44628.739583333336</v>
      </c>
      <c r="C168" s="3">
        <f>22642987/10^5</f>
        <v>226.42986999999999</v>
      </c>
      <c r="D168" s="3">
        <f>5552655/10^5</f>
        <v>55.52655</v>
      </c>
      <c r="E168" s="3"/>
      <c r="F168" s="3"/>
      <c r="G168" s="3">
        <f>17090332/10^5</f>
        <v>170.90332000000001</v>
      </c>
      <c r="H168" s="3">
        <f>5503864044/10^7</f>
        <v>550.38640439999995</v>
      </c>
      <c r="I168" s="3">
        <f>54973/10^2</f>
        <v>549.73</v>
      </c>
      <c r="J168" s="3">
        <f>21981/10^2</f>
        <v>219.81</v>
      </c>
      <c r="K168" s="3">
        <f>1618844599/10^8</f>
        <v>16.188445990000002</v>
      </c>
      <c r="L168" s="3">
        <f>2388219985/10^8</f>
        <v>23.882199849999999</v>
      </c>
      <c r="M168" s="3">
        <f>121084064/10^7</f>
        <v>12.1084064</v>
      </c>
      <c r="N168" s="5"/>
    </row>
    <row r="169" spans="1:14" x14ac:dyDescent="0.3">
      <c r="A169" s="7">
        <v>44628.739583333336</v>
      </c>
      <c r="B169" s="7">
        <v>44628.75</v>
      </c>
      <c r="C169" s="3">
        <f>26578019/10^5</f>
        <v>265.78019</v>
      </c>
      <c r="D169" s="3">
        <f>4849639/10^5</f>
        <v>48.496389999999998</v>
      </c>
      <c r="E169" s="3"/>
      <c r="F169" s="3"/>
      <c r="G169" s="3">
        <f>2172838/10^4</f>
        <v>217.28380000000001</v>
      </c>
      <c r="H169" s="3">
        <f>5502018822/10^7</f>
        <v>550.2018822</v>
      </c>
      <c r="I169" s="3">
        <f>54973/10^2</f>
        <v>549.73</v>
      </c>
      <c r="J169" s="3">
        <f>21981/10^2</f>
        <v>219.81</v>
      </c>
      <c r="K169" s="3">
        <f>1624102554/10^8</f>
        <v>16.241025539999999</v>
      </c>
      <c r="L169" s="3">
        <f>2252929333/10^8</f>
        <v>22.529293330000002</v>
      </c>
      <c r="M169" s="3">
        <f>860138715/10^8</f>
        <v>8.6013871500000008</v>
      </c>
      <c r="N169" s="5"/>
    </row>
    <row r="170" spans="1:14" x14ac:dyDescent="0.3">
      <c r="A170" s="7">
        <v>44628.75</v>
      </c>
      <c r="B170" s="7">
        <v>44628.760416666664</v>
      </c>
      <c r="C170" s="3">
        <f>18712688/10^5</f>
        <v>187.12688</v>
      </c>
      <c r="D170" s="3">
        <f>1972287/10^5</f>
        <v>19.72287</v>
      </c>
      <c r="E170" s="3"/>
      <c r="F170" s="3"/>
      <c r="G170" s="3">
        <f>16740401/10^5</f>
        <v>167.40401</v>
      </c>
      <c r="H170" s="3">
        <f>6010026961/10^7</f>
        <v>601.00269609999998</v>
      </c>
      <c r="I170" s="3">
        <f>60055/10^2</f>
        <v>600.54999999999995</v>
      </c>
      <c r="J170" s="3">
        <f>176/10^0</f>
        <v>176</v>
      </c>
      <c r="K170" s="3">
        <f>1885495621/10^8</f>
        <v>18.854956210000001</v>
      </c>
      <c r="L170" s="3">
        <f>2627077778/10^8</f>
        <v>26.27077778</v>
      </c>
      <c r="M170" s="3">
        <f>514664643/10^8</f>
        <v>5.1466464299999997</v>
      </c>
      <c r="N170" s="5"/>
    </row>
    <row r="171" spans="1:14" x14ac:dyDescent="0.3">
      <c r="A171" s="7">
        <v>44628.760416666664</v>
      </c>
      <c r="B171" s="7">
        <v>44628.770833333336</v>
      </c>
      <c r="C171" s="3">
        <f>20284862/10^5</f>
        <v>202.84862000000001</v>
      </c>
      <c r="D171" s="3">
        <f>3284078/10^5</f>
        <v>32.840780000000002</v>
      </c>
      <c r="E171" s="3"/>
      <c r="F171" s="3"/>
      <c r="G171" s="3">
        <f>17000784/10^5</f>
        <v>170.00783999999999</v>
      </c>
      <c r="H171" s="3">
        <f>6022348473/10^7</f>
        <v>602.23484729999996</v>
      </c>
      <c r="I171" s="3">
        <f>60215/10^2</f>
        <v>602.15</v>
      </c>
      <c r="J171" s="3">
        <f t="shared" ref="J171:J177" si="10">21984/10^2</f>
        <v>219.84</v>
      </c>
      <c r="K171" s="3">
        <f>197318406/10^7</f>
        <v>19.731840600000002</v>
      </c>
      <c r="L171" s="3">
        <f>2612880301/10^8</f>
        <v>26.128803009999999</v>
      </c>
      <c r="M171" s="3">
        <f>762042779/10^8</f>
        <v>7.6204277899999999</v>
      </c>
      <c r="N171" s="5"/>
    </row>
    <row r="172" spans="1:14" x14ac:dyDescent="0.3">
      <c r="A172" s="7">
        <v>44628.770833333336</v>
      </c>
      <c r="B172" s="7">
        <v>44628.78125</v>
      </c>
      <c r="C172" s="3">
        <f>20850775/10^5</f>
        <v>208.50774999999999</v>
      </c>
      <c r="D172" s="3">
        <f>3252994/10^5</f>
        <v>32.529940000000003</v>
      </c>
      <c r="E172" s="3"/>
      <c r="F172" s="3"/>
      <c r="G172" s="3">
        <f>17597781/10^5</f>
        <v>175.97781000000001</v>
      </c>
      <c r="H172" s="3">
        <f>6022405848/10^7</f>
        <v>602.24058479999997</v>
      </c>
      <c r="I172" s="3">
        <f>60215/10^2</f>
        <v>602.15</v>
      </c>
      <c r="J172" s="3">
        <f t="shared" si="10"/>
        <v>219.84</v>
      </c>
      <c r="K172" s="3">
        <f>2035326395/10^8</f>
        <v>20.353263949999999</v>
      </c>
      <c r="L172" s="3">
        <f>2374194809/10^8</f>
        <v>23.741948090000001</v>
      </c>
      <c r="M172" s="3">
        <f>738514637/10^8</f>
        <v>7.3851463700000002</v>
      </c>
      <c r="N172" s="5"/>
    </row>
    <row r="173" spans="1:14" x14ac:dyDescent="0.3">
      <c r="A173" s="7">
        <v>44628.78125</v>
      </c>
      <c r="B173" s="7">
        <v>44628.791666666664</v>
      </c>
      <c r="C173" s="3">
        <f>21586059/10^5</f>
        <v>215.86059</v>
      </c>
      <c r="D173" s="3">
        <f>2681813/10^5</f>
        <v>26.81813</v>
      </c>
      <c r="E173" s="3"/>
      <c r="F173" s="3"/>
      <c r="G173" s="3">
        <f>18904246/10^5</f>
        <v>189.04246000000001</v>
      </c>
      <c r="H173" s="3">
        <f>6022376655/10^7</f>
        <v>602.23766550000005</v>
      </c>
      <c r="I173" s="3">
        <f>60215/10^2</f>
        <v>602.15</v>
      </c>
      <c r="J173" s="3">
        <f t="shared" si="10"/>
        <v>219.84</v>
      </c>
      <c r="K173" s="3">
        <f>2080790864/10^8</f>
        <v>20.807908640000001</v>
      </c>
      <c r="L173" s="3">
        <f>2357328787/10^8</f>
        <v>23.573287870000001</v>
      </c>
      <c r="M173" s="3">
        <f>553690013/10^8</f>
        <v>5.5369001300000003</v>
      </c>
      <c r="N173" s="5"/>
    </row>
    <row r="174" spans="1:14" x14ac:dyDescent="0.3">
      <c r="A174" s="7">
        <v>44628.791666666664</v>
      </c>
      <c r="B174" s="7">
        <v>44628.802083333336</v>
      </c>
      <c r="C174" s="3">
        <f>23973297/10^5</f>
        <v>239.73296999999999</v>
      </c>
      <c r="D174" s="3">
        <f>1480755/10^5</f>
        <v>14.807550000000001</v>
      </c>
      <c r="E174" s="3"/>
      <c r="F174" s="3"/>
      <c r="G174" s="3">
        <f>22492542/10^5</f>
        <v>224.92542</v>
      </c>
      <c r="H174" s="3">
        <f>6022520214/10^7</f>
        <v>602.25202139999999</v>
      </c>
      <c r="I174" s="3">
        <f>60217/10^2</f>
        <v>602.16999999999996</v>
      </c>
      <c r="J174" s="3">
        <f t="shared" si="10"/>
        <v>219.84</v>
      </c>
      <c r="K174" s="3">
        <f>2172637575/10^8</f>
        <v>21.726375749999999</v>
      </c>
      <c r="L174" s="3">
        <f>736336204/10^8</f>
        <v>7.3633620400000002</v>
      </c>
      <c r="M174" s="3">
        <f>383261124/10^8</f>
        <v>3.8326112399999999</v>
      </c>
      <c r="N174" s="5"/>
    </row>
    <row r="175" spans="1:14" x14ac:dyDescent="0.3">
      <c r="A175" s="7">
        <v>44628.802083333336</v>
      </c>
      <c r="B175" s="7">
        <v>44628.8125</v>
      </c>
      <c r="C175" s="3">
        <f>24042984/10^5</f>
        <v>240.42984000000001</v>
      </c>
      <c r="D175" s="3">
        <f>1606348/10^5</f>
        <v>16.063479999999998</v>
      </c>
      <c r="E175" s="3"/>
      <c r="F175" s="3"/>
      <c r="G175" s="3">
        <f>22436636/10^5</f>
        <v>224.36635999999999</v>
      </c>
      <c r="H175" s="3">
        <f>6022449305/10^7</f>
        <v>602.24493050000001</v>
      </c>
      <c r="I175" s="3">
        <f>60217/10^2</f>
        <v>602.16999999999996</v>
      </c>
      <c r="J175" s="3">
        <f t="shared" si="10"/>
        <v>219.84</v>
      </c>
      <c r="K175" s="3">
        <f>2233877036/10^8</f>
        <v>22.338770360000002</v>
      </c>
      <c r="L175" s="3">
        <f>740612399/10^8</f>
        <v>7.4061239900000002</v>
      </c>
      <c r="M175" s="3">
        <f>338420534/10^8</f>
        <v>3.3842053399999998</v>
      </c>
      <c r="N175" s="5"/>
    </row>
    <row r="176" spans="1:14" x14ac:dyDescent="0.3">
      <c r="A176" s="7">
        <v>44628.8125</v>
      </c>
      <c r="B176" s="7">
        <v>44628.822916666664</v>
      </c>
      <c r="C176" s="3">
        <f>23356852/10^5</f>
        <v>233.56852000000001</v>
      </c>
      <c r="D176" s="3">
        <f>167603/10^4</f>
        <v>16.760300000000001</v>
      </c>
      <c r="E176" s="3"/>
      <c r="F176" s="3"/>
      <c r="G176" s="3">
        <f>21680822/10^5</f>
        <v>216.80822000000001</v>
      </c>
      <c r="H176" s="3">
        <f>6022749174/10^7</f>
        <v>602.27491740000005</v>
      </c>
      <c r="I176" s="3">
        <f>60217/10^2</f>
        <v>602.16999999999996</v>
      </c>
      <c r="J176" s="3">
        <f t="shared" si="10"/>
        <v>219.84</v>
      </c>
      <c r="K176" s="3">
        <f>2306227286/10^8</f>
        <v>23.06227286</v>
      </c>
      <c r="L176" s="3">
        <f>1395001716/10^8</f>
        <v>13.95001716</v>
      </c>
      <c r="M176" s="3">
        <f>449880191/10^8</f>
        <v>4.4988019100000001</v>
      </c>
      <c r="N176" s="5"/>
    </row>
    <row r="177" spans="1:14" x14ac:dyDescent="0.3">
      <c r="A177" s="7">
        <v>44628.822916666664</v>
      </c>
      <c r="B177" s="7">
        <v>44628.833333333336</v>
      </c>
      <c r="C177" s="3">
        <f>21813715/10^5</f>
        <v>218.13714999999999</v>
      </c>
      <c r="D177" s="3">
        <f>2125201/10^5</f>
        <v>21.252009999999999</v>
      </c>
      <c r="E177" s="3"/>
      <c r="F177" s="3"/>
      <c r="G177" s="3">
        <f>19688514/10^5</f>
        <v>196.88514000000001</v>
      </c>
      <c r="H177" s="3">
        <f>6022685466/10^7</f>
        <v>602.26854660000004</v>
      </c>
      <c r="I177" s="3">
        <f>60217/10^2</f>
        <v>602.16999999999996</v>
      </c>
      <c r="J177" s="3">
        <f t="shared" si="10"/>
        <v>219.84</v>
      </c>
      <c r="K177" s="3">
        <f>2333842358/10^8</f>
        <v>23.338423580000001</v>
      </c>
      <c r="L177" s="3">
        <f>1393960641/10^8</f>
        <v>13.93960641</v>
      </c>
      <c r="M177" s="3">
        <f>618299947/10^8</f>
        <v>6.1829994700000004</v>
      </c>
      <c r="N177" s="5"/>
    </row>
    <row r="178" spans="1:14" x14ac:dyDescent="0.3">
      <c r="A178" s="7">
        <v>44628.833333333336</v>
      </c>
      <c r="B178" s="7">
        <v>44628.84375</v>
      </c>
      <c r="C178" s="3">
        <f>28086413/10^5</f>
        <v>280.86412999999999</v>
      </c>
      <c r="D178" s="3">
        <f>6152824/10^5</f>
        <v>61.528239999999997</v>
      </c>
      <c r="E178" s="3"/>
      <c r="F178" s="3"/>
      <c r="G178" s="3">
        <f>21933589/10^5</f>
        <v>219.33589000000001</v>
      </c>
      <c r="H178" s="3">
        <f>5580018391/10^7</f>
        <v>558.00183909999998</v>
      </c>
      <c r="I178" s="3">
        <f>55794/10^2</f>
        <v>557.94000000000005</v>
      </c>
      <c r="J178" s="3">
        <f>21981/10^2</f>
        <v>219.81</v>
      </c>
      <c r="K178" s="3">
        <f>218851561/10^7</f>
        <v>21.8851561</v>
      </c>
      <c r="L178" s="3">
        <f>2118533428/10^8</f>
        <v>21.185334279999999</v>
      </c>
      <c r="M178" s="3">
        <f>1330184107/10^8</f>
        <v>13.30184107</v>
      </c>
      <c r="N178" s="5"/>
    </row>
    <row r="179" spans="1:14" x14ac:dyDescent="0.3">
      <c r="A179" s="7">
        <v>44628.84375</v>
      </c>
      <c r="B179" s="7">
        <v>44628.854166666664</v>
      </c>
      <c r="C179" s="3">
        <f>24862647/10^5</f>
        <v>248.62647000000001</v>
      </c>
      <c r="D179" s="3">
        <f>727491/10^4</f>
        <v>72.749099999999999</v>
      </c>
      <c r="E179" s="3"/>
      <c r="F179" s="3"/>
      <c r="G179" s="3">
        <f>17587737/10^5</f>
        <v>175.87737000000001</v>
      </c>
      <c r="H179" s="3">
        <f>5581745809/10^7</f>
        <v>558.17458090000002</v>
      </c>
      <c r="I179" s="3">
        <f>55814/10^2</f>
        <v>558.14</v>
      </c>
      <c r="J179" s="3">
        <f>21981/10^2</f>
        <v>219.81</v>
      </c>
      <c r="K179" s="3">
        <f>222667575/10^7</f>
        <v>22.266757500000001</v>
      </c>
      <c r="L179" s="3">
        <f>2462954406/10^8</f>
        <v>24.629544060000001</v>
      </c>
      <c r="M179" s="3">
        <f>1608625245/10^8</f>
        <v>16.08625245</v>
      </c>
      <c r="N179" s="5"/>
    </row>
    <row r="180" spans="1:14" x14ac:dyDescent="0.3">
      <c r="A180" s="7">
        <v>44628.854166666664</v>
      </c>
      <c r="B180" s="7">
        <v>44628.864583333336</v>
      </c>
      <c r="C180" s="3">
        <f>2243007/10^4</f>
        <v>224.30070000000001</v>
      </c>
      <c r="D180" s="3">
        <f>9254531/10^5</f>
        <v>92.545310000000001</v>
      </c>
      <c r="E180" s="3"/>
      <c r="F180" s="3"/>
      <c r="G180" s="3">
        <f>13175539/10^5</f>
        <v>131.75539000000001</v>
      </c>
      <c r="H180" s="3">
        <f>5580086517/10^7</f>
        <v>558.00865169999997</v>
      </c>
      <c r="I180" s="3">
        <f>55794/10^2</f>
        <v>557.94000000000005</v>
      </c>
      <c r="J180" s="3">
        <f>18981/10^2</f>
        <v>189.81</v>
      </c>
      <c r="K180" s="3">
        <f>2265515459/10^8</f>
        <v>22.655154589999999</v>
      </c>
      <c r="L180" s="3">
        <f>2705965337/10^8</f>
        <v>27.059653369999999</v>
      </c>
      <c r="M180" s="3">
        <f>2083298738/10^8</f>
        <v>20.832987379999999</v>
      </c>
      <c r="N180" s="5"/>
    </row>
    <row r="181" spans="1:14" x14ac:dyDescent="0.3">
      <c r="A181" s="7">
        <v>44628.864583333336</v>
      </c>
      <c r="B181" s="7">
        <v>44628.875</v>
      </c>
      <c r="C181" s="3">
        <f>16921695/10^5</f>
        <v>169.21695</v>
      </c>
      <c r="D181" s="3">
        <f>8884081/10^5</f>
        <v>88.840810000000005</v>
      </c>
      <c r="E181" s="3"/>
      <c r="F181" s="3"/>
      <c r="G181" s="3">
        <f>8037614/10^5</f>
        <v>80.376140000000007</v>
      </c>
      <c r="H181" s="3">
        <f>5570686242/10^7</f>
        <v>557.06862420000004</v>
      </c>
      <c r="I181" s="3">
        <f>55695/10^2</f>
        <v>556.95000000000005</v>
      </c>
      <c r="J181" s="3">
        <f>18981/10^2</f>
        <v>189.81</v>
      </c>
      <c r="K181" s="3">
        <f>2293650712/10^8</f>
        <v>22.936507120000002</v>
      </c>
      <c r="L181" s="3">
        <f>277885091/10^7</f>
        <v>27.788509099999999</v>
      </c>
      <c r="M181" s="3">
        <f>197316706/10^7</f>
        <v>19.731670600000001</v>
      </c>
      <c r="N181" s="5"/>
    </row>
    <row r="182" spans="1:14" x14ac:dyDescent="0.3">
      <c r="A182" s="7">
        <v>44628.875</v>
      </c>
      <c r="B182" s="7">
        <v>44628.885416666664</v>
      </c>
      <c r="C182" s="3">
        <f>23279206/10^5</f>
        <v>232.79205999999999</v>
      </c>
      <c r="D182" s="3">
        <f>6568679/10^5</f>
        <v>65.686790000000002</v>
      </c>
      <c r="E182" s="3"/>
      <c r="F182" s="3"/>
      <c r="G182" s="3">
        <f>16710527/10^5</f>
        <v>167.10526999999999</v>
      </c>
      <c r="H182" s="3">
        <f>4969999999/10^7</f>
        <v>496.99999989999998</v>
      </c>
      <c r="I182" s="3">
        <f>497/10^0</f>
        <v>497</v>
      </c>
      <c r="J182" s="3">
        <f>17389/10^2</f>
        <v>173.89</v>
      </c>
      <c r="K182" s="3">
        <f>2193378646/10^8</f>
        <v>21.93378646</v>
      </c>
      <c r="L182" s="3">
        <f>870997997/10^8</f>
        <v>8.7099799699999991</v>
      </c>
      <c r="M182" s="3">
        <f>682067078/10^8</f>
        <v>6.8206707800000004</v>
      </c>
      <c r="N182" s="5"/>
    </row>
    <row r="183" spans="1:14" x14ac:dyDescent="0.3">
      <c r="A183" s="7">
        <v>44628.885416666664</v>
      </c>
      <c r="B183" s="7">
        <v>44628.895833333336</v>
      </c>
      <c r="C183" s="3">
        <f>19537274/10^5</f>
        <v>195.37273999999999</v>
      </c>
      <c r="D183" s="3">
        <f>6919087/10^5</f>
        <v>69.190870000000004</v>
      </c>
      <c r="E183" s="3"/>
      <c r="F183" s="3"/>
      <c r="G183" s="3">
        <f>12618187/10^5</f>
        <v>126.18187</v>
      </c>
      <c r="H183" s="3">
        <f>4969900081/10^7</f>
        <v>496.99000810000001</v>
      </c>
      <c r="I183" s="3">
        <f>49699/10^2</f>
        <v>496.99</v>
      </c>
      <c r="J183" s="3">
        <f>21981/10^2</f>
        <v>219.81</v>
      </c>
      <c r="K183" s="3">
        <f>2130907142/10^8</f>
        <v>21.309071419999999</v>
      </c>
      <c r="L183" s="3">
        <f>888705817/10^8</f>
        <v>8.8870581699999995</v>
      </c>
      <c r="M183" s="3">
        <f>418339526/10^8</f>
        <v>4.1833952600000002</v>
      </c>
      <c r="N183" s="5"/>
    </row>
    <row r="184" spans="1:14" x14ac:dyDescent="0.3">
      <c r="A184" s="7">
        <v>44628.895833333336</v>
      </c>
      <c r="B184" s="7">
        <v>44628.90625</v>
      </c>
      <c r="C184" s="3">
        <f>13661643/10^5</f>
        <v>136.61643000000001</v>
      </c>
      <c r="D184" s="3">
        <f>7563355/10^5</f>
        <v>75.63355</v>
      </c>
      <c r="E184" s="3"/>
      <c r="F184" s="3"/>
      <c r="G184" s="3">
        <f>6098288/10^5</f>
        <v>60.982880000000002</v>
      </c>
      <c r="H184" s="3">
        <f>4969900296/10^7</f>
        <v>496.99002960000001</v>
      </c>
      <c r="I184" s="3">
        <f>49699/10^2</f>
        <v>496.99</v>
      </c>
      <c r="J184" s="3">
        <f>21981/10^2</f>
        <v>219.81</v>
      </c>
      <c r="K184" s="3">
        <f>2093975195/10^8</f>
        <v>20.939751950000002</v>
      </c>
      <c r="L184" s="3">
        <f>2114517592/10^8</f>
        <v>21.14517592</v>
      </c>
      <c r="M184" s="3">
        <f>631553772/10^8</f>
        <v>6.31553772</v>
      </c>
      <c r="N184" s="5"/>
    </row>
    <row r="185" spans="1:14" x14ac:dyDescent="0.3">
      <c r="A185" s="7">
        <v>44628.90625</v>
      </c>
      <c r="B185" s="7">
        <v>44628.916666666664</v>
      </c>
      <c r="C185" s="3">
        <f>11618007/10^5</f>
        <v>116.18007</v>
      </c>
      <c r="D185" s="3">
        <f>6268154/10^5</f>
        <v>62.681539999999998</v>
      </c>
      <c r="E185" s="3"/>
      <c r="F185" s="3"/>
      <c r="G185" s="3">
        <f>5349853/10^5</f>
        <v>53.498530000000002</v>
      </c>
      <c r="H185" s="3">
        <f>4981899998/10^7</f>
        <v>498.18999980000001</v>
      </c>
      <c r="I185" s="3">
        <f>49819/10^2</f>
        <v>498.19</v>
      </c>
      <c r="J185" s="3">
        <f>21981/10^2</f>
        <v>219.81</v>
      </c>
      <c r="K185" s="3">
        <f>2238461612/10^8</f>
        <v>22.38461612</v>
      </c>
      <c r="L185" s="3">
        <f>2512216748/10^8</f>
        <v>25.122167480000002</v>
      </c>
      <c r="M185" s="3">
        <f>291255531/10^8</f>
        <v>2.9125553100000001</v>
      </c>
      <c r="N185" s="5"/>
    </row>
    <row r="186" spans="1:14" x14ac:dyDescent="0.3">
      <c r="A186" s="7">
        <v>44628.916666666664</v>
      </c>
      <c r="B186" s="7">
        <v>44628.927083333336</v>
      </c>
      <c r="C186" s="3">
        <f>24397123/10^5</f>
        <v>243.97122999999999</v>
      </c>
      <c r="D186" s="3">
        <f>5054175/10^5</f>
        <v>50.54175</v>
      </c>
      <c r="E186" s="3"/>
      <c r="F186" s="3"/>
      <c r="G186" s="3">
        <f>19342948/10^5</f>
        <v>193.42948000000001</v>
      </c>
      <c r="H186" s="3">
        <f>4944499996/10^7</f>
        <v>494.44999960000001</v>
      </c>
      <c r="I186" s="3">
        <f>49445/10^2</f>
        <v>494.45</v>
      </c>
      <c r="J186" s="3">
        <f>21981/10^2</f>
        <v>219.81</v>
      </c>
      <c r="K186" s="3">
        <f>2276672099/10^8</f>
        <v>22.76672099</v>
      </c>
      <c r="L186" s="3">
        <f>1145268178/10^8</f>
        <v>11.452681780000001</v>
      </c>
      <c r="M186" s="3">
        <f>1111587431/10^8</f>
        <v>11.115874310000001</v>
      </c>
      <c r="N186" s="5"/>
    </row>
    <row r="187" spans="1:14" x14ac:dyDescent="0.3">
      <c r="A187" s="7">
        <v>44628.927083333336</v>
      </c>
      <c r="B187" s="7">
        <v>44628.9375</v>
      </c>
      <c r="C187" s="3">
        <f>25226362/10^5</f>
        <v>252.26362</v>
      </c>
      <c r="D187" s="3">
        <f>6410554/10^5</f>
        <v>64.105540000000005</v>
      </c>
      <c r="E187" s="3"/>
      <c r="F187" s="3"/>
      <c r="G187" s="3">
        <f>18815808/10^5</f>
        <v>188.15808000000001</v>
      </c>
      <c r="H187" s="3">
        <f>4944499999/10^7</f>
        <v>494.44999990000002</v>
      </c>
      <c r="I187" s="3">
        <f>49445/10^2</f>
        <v>494.45</v>
      </c>
      <c r="J187" s="3">
        <f>17569/10^2</f>
        <v>175.69</v>
      </c>
      <c r="K187" s="3">
        <f>2304891634/10^8</f>
        <v>23.048916340000002</v>
      </c>
      <c r="L187" s="3">
        <f>112669064/10^7</f>
        <v>11.2669064</v>
      </c>
      <c r="M187" s="3">
        <f>1382844955/10^8</f>
        <v>13.82844955</v>
      </c>
      <c r="N187" s="5"/>
    </row>
    <row r="188" spans="1:14" x14ac:dyDescent="0.3">
      <c r="A188" s="7">
        <v>44628.9375</v>
      </c>
      <c r="B188" s="7">
        <v>44628.947916666664</v>
      </c>
      <c r="C188" s="3">
        <f>22109091/10^5</f>
        <v>221.09091000000001</v>
      </c>
      <c r="D188" s="3">
        <f>6115065/10^5</f>
        <v>61.150649999999999</v>
      </c>
      <c r="E188" s="3"/>
      <c r="F188" s="3"/>
      <c r="G188" s="3">
        <f>15994026/10^5</f>
        <v>159.94025999999999</v>
      </c>
      <c r="H188" s="3">
        <f>4921507365/10^7</f>
        <v>492.15073649999999</v>
      </c>
      <c r="I188" s="3">
        <f>49215/10^2</f>
        <v>492.15</v>
      </c>
      <c r="J188" s="3">
        <f>17568/10^2</f>
        <v>175.68</v>
      </c>
      <c r="K188" s="3">
        <f>2268172619/10^8</f>
        <v>22.681726189999999</v>
      </c>
      <c r="L188" s="3">
        <f>557765734/10^8</f>
        <v>5.57765734</v>
      </c>
      <c r="M188" s="3">
        <f>1488163213/10^8</f>
        <v>14.88163213</v>
      </c>
      <c r="N188" s="5"/>
    </row>
    <row r="189" spans="1:14" x14ac:dyDescent="0.3">
      <c r="A189" s="7">
        <v>44628.947916666664</v>
      </c>
      <c r="B189" s="7">
        <v>44628.958333333336</v>
      </c>
      <c r="C189" s="3">
        <f>19003067/10^5</f>
        <v>190.03066999999999</v>
      </c>
      <c r="D189" s="3">
        <f>4139355/10^5</f>
        <v>41.393549999999998</v>
      </c>
      <c r="E189" s="3"/>
      <c r="F189" s="3"/>
      <c r="G189" s="3">
        <f>14863712/10^5</f>
        <v>148.63712000000001</v>
      </c>
      <c r="H189" s="3">
        <f>4921508682/10^7</f>
        <v>492.15086819999999</v>
      </c>
      <c r="I189" s="3">
        <f>49215/10^2</f>
        <v>492.15</v>
      </c>
      <c r="J189" s="3">
        <f>21981/10^2</f>
        <v>219.81</v>
      </c>
      <c r="K189" s="3">
        <f>2224537199/10^8</f>
        <v>22.245371989999999</v>
      </c>
      <c r="L189" s="3">
        <f>594255441/10^8</f>
        <v>5.9425544099999996</v>
      </c>
      <c r="M189" s="3">
        <f>932782767/10^8</f>
        <v>9.3278276699999996</v>
      </c>
      <c r="N189" s="5"/>
    </row>
    <row r="190" spans="1:14" x14ac:dyDescent="0.3">
      <c r="A190" s="7">
        <v>44628.958333333336</v>
      </c>
      <c r="B190" s="7">
        <v>44628.96875</v>
      </c>
      <c r="C190" s="3">
        <f>2501698/10^4</f>
        <v>250.16980000000001</v>
      </c>
      <c r="D190" s="3">
        <f>84308/10^4</f>
        <v>8.4307999999999996</v>
      </c>
      <c r="E190" s="3"/>
      <c r="F190" s="3"/>
      <c r="G190" s="3">
        <f>241739/10^3</f>
        <v>241.739</v>
      </c>
      <c r="H190" s="3">
        <f>4880019402/10^7</f>
        <v>488.00194019999998</v>
      </c>
      <c r="I190" s="3">
        <f>488/10^0</f>
        <v>488</v>
      </c>
      <c r="J190" s="3">
        <f>18966/10^2</f>
        <v>189.66</v>
      </c>
      <c r="K190" s="3">
        <f>1890416354/10^8</f>
        <v>18.904163539999999</v>
      </c>
      <c r="L190" s="3">
        <f>1096733893/10^8</f>
        <v>10.96733893</v>
      </c>
      <c r="M190" s="3">
        <f>5570041/10^8</f>
        <v>5.5700409999999999E-2</v>
      </c>
      <c r="N190" s="5"/>
    </row>
    <row r="191" spans="1:14" x14ac:dyDescent="0.3">
      <c r="A191" s="7">
        <v>44628.96875</v>
      </c>
      <c r="B191" s="7">
        <v>44628.979166666664</v>
      </c>
      <c r="C191" s="3">
        <f>24299127/10^5</f>
        <v>242.99126999999999</v>
      </c>
      <c r="D191" s="3">
        <f>1070228/10^5</f>
        <v>10.70228</v>
      </c>
      <c r="E191" s="3"/>
      <c r="F191" s="3"/>
      <c r="G191" s="3">
        <f>23228899/10^5</f>
        <v>232.28899000000001</v>
      </c>
      <c r="H191" s="3">
        <f>4880019492/10^7</f>
        <v>488.00194920000001</v>
      </c>
      <c r="I191" s="3">
        <f>488/10^0</f>
        <v>488</v>
      </c>
      <c r="J191" s="3">
        <f>18966/10^2</f>
        <v>189.66</v>
      </c>
      <c r="K191" s="3">
        <f>2051240097/10^8</f>
        <v>20.512400970000002</v>
      </c>
      <c r="L191" s="3">
        <f>1127656609/10^8</f>
        <v>11.276566089999999</v>
      </c>
      <c r="M191" s="3">
        <f>285349185/10^8</f>
        <v>2.8534918500000002</v>
      </c>
      <c r="N191" s="5"/>
    </row>
    <row r="192" spans="1:14" x14ac:dyDescent="0.3">
      <c r="A192" s="7">
        <v>44628.979166666664</v>
      </c>
      <c r="B192" s="7">
        <v>44628.989583333336</v>
      </c>
      <c r="C192" s="3">
        <f>25469538/10^5</f>
        <v>254.69538</v>
      </c>
      <c r="D192" s="3">
        <f>5684719/10^5</f>
        <v>56.847189999999998</v>
      </c>
      <c r="E192" s="3"/>
      <c r="F192" s="3"/>
      <c r="G192" s="3">
        <f>19784819/10^5</f>
        <v>197.84818999999999</v>
      </c>
      <c r="H192" s="3">
        <f>5011099997/10^7</f>
        <v>501.1099997</v>
      </c>
      <c r="I192" s="3">
        <f>50111/10^2</f>
        <v>501.11</v>
      </c>
      <c r="J192" s="3">
        <f>17645/10^2</f>
        <v>176.45</v>
      </c>
      <c r="K192" s="3">
        <f>2044488845/10^8</f>
        <v>20.444888450000001</v>
      </c>
      <c r="L192" s="3">
        <f>1005734511/10^8</f>
        <v>10.05734511</v>
      </c>
      <c r="M192" s="3">
        <f>1483427881/10^8</f>
        <v>14.834278810000001</v>
      </c>
      <c r="N192" s="5"/>
    </row>
    <row r="193" spans="1:14" x14ac:dyDescent="0.3">
      <c r="A193" s="7">
        <v>44628.989583333336</v>
      </c>
      <c r="B193" s="7">
        <v>44629</v>
      </c>
      <c r="C193" s="3">
        <f>21501346/10^5</f>
        <v>215.01346000000001</v>
      </c>
      <c r="D193" s="3">
        <f>5938395/10^5</f>
        <v>59.383949999999999</v>
      </c>
      <c r="E193" s="3"/>
      <c r="F193" s="3"/>
      <c r="G193" s="3">
        <f>15562951/10^5</f>
        <v>155.62951000000001</v>
      </c>
      <c r="H193" s="3">
        <f>5011099998/10^7</f>
        <v>501.10999980000003</v>
      </c>
      <c r="I193" s="3">
        <f>50111/10^2</f>
        <v>501.11</v>
      </c>
      <c r="J193" s="3">
        <f>17645/10^2</f>
        <v>176.45</v>
      </c>
      <c r="K193" s="3">
        <f>2004543671/10^8</f>
        <v>20.045436710000001</v>
      </c>
      <c r="L193" s="3">
        <f>1038769252/10^8</f>
        <v>10.38769252</v>
      </c>
      <c r="M193" s="3">
        <f>129679075/10^7</f>
        <v>12.967907500000001</v>
      </c>
      <c r="N193" s="5"/>
    </row>
    <row r="194" spans="1:14" x14ac:dyDescent="0.3">
      <c r="A194" s="7">
        <v>44629</v>
      </c>
      <c r="B194" s="7">
        <v>44629.010416666664</v>
      </c>
      <c r="C194" s="3">
        <f>8914236/10^5</f>
        <v>89.142359999999996</v>
      </c>
      <c r="D194" s="3">
        <f>3068542/10^5</f>
        <v>30.685420000000001</v>
      </c>
      <c r="E194" s="3"/>
      <c r="F194" s="3"/>
      <c r="G194" s="3">
        <f>5845694/10^5</f>
        <v>58.456940000000003</v>
      </c>
      <c r="H194" s="3">
        <f>506/10^0</f>
        <v>506</v>
      </c>
      <c r="I194" s="3">
        <f>506/10^0</f>
        <v>506</v>
      </c>
      <c r="J194" s="3">
        <f>18009/10^2</f>
        <v>180.09</v>
      </c>
      <c r="K194" s="3">
        <f>1896702018/10^8</f>
        <v>18.967020179999999</v>
      </c>
      <c r="L194" s="3">
        <f>33915506/10^8</f>
        <v>0.33915506000000001</v>
      </c>
      <c r="M194" s="3">
        <f>1098030369/10^8</f>
        <v>10.98030369</v>
      </c>
      <c r="N194" s="5"/>
    </row>
    <row r="195" spans="1:14" x14ac:dyDescent="0.3">
      <c r="A195" s="7">
        <v>44629.010416666664</v>
      </c>
      <c r="B195" s="7">
        <v>44629.020833333336</v>
      </c>
      <c r="C195" s="3">
        <f>17596539/10^5</f>
        <v>175.96539000000001</v>
      </c>
      <c r="D195" s="3">
        <f>566992/10^5</f>
        <v>5.6699200000000003</v>
      </c>
      <c r="E195" s="3"/>
      <c r="F195" s="3"/>
      <c r="G195" s="3">
        <f>17029547/10^5</f>
        <v>170.29546999999999</v>
      </c>
      <c r="H195" s="3">
        <f>3706008859/10^7</f>
        <v>370.60088589999998</v>
      </c>
      <c r="I195" s="3">
        <f>3698/10^1</f>
        <v>369.8</v>
      </c>
      <c r="J195" s="3">
        <f>18009/10^2</f>
        <v>180.09</v>
      </c>
      <c r="K195" s="3">
        <f>1746784547/10^8</f>
        <v>17.46784547</v>
      </c>
      <c r="L195" s="3">
        <f>35393962/10^8</f>
        <v>0.35393962000000001</v>
      </c>
      <c r="M195" s="3">
        <f>-255792615/10^8</f>
        <v>-2.5579261500000001</v>
      </c>
      <c r="N195" s="5"/>
    </row>
    <row r="196" spans="1:14" x14ac:dyDescent="0.3">
      <c r="A196" s="7">
        <v>44629.020833333336</v>
      </c>
      <c r="B196" s="7">
        <v>44629.03125</v>
      </c>
      <c r="C196" s="3">
        <f>16631018/10^5</f>
        <v>166.31018</v>
      </c>
      <c r="D196" s="3">
        <f>1224883/10^5</f>
        <v>12.24883</v>
      </c>
      <c r="E196" s="3"/>
      <c r="F196" s="3"/>
      <c r="G196" s="3">
        <f>15406135/10^5</f>
        <v>154.06135</v>
      </c>
      <c r="H196" s="3">
        <f>3701564961/10^7</f>
        <v>370.15649610000003</v>
      </c>
      <c r="I196" s="3">
        <f>3698/10^1</f>
        <v>369.8</v>
      </c>
      <c r="J196" s="3">
        <f>18009/10^2</f>
        <v>180.09</v>
      </c>
      <c r="K196" s="3">
        <f>1763259753/10^8</f>
        <v>17.632597530000002</v>
      </c>
      <c r="L196" s="3">
        <f>35813823/10^8</f>
        <v>0.35813823</v>
      </c>
      <c r="M196" s="3">
        <f>217147202/10^8</f>
        <v>2.1714720199999999</v>
      </c>
      <c r="N196" s="5"/>
    </row>
    <row r="197" spans="1:14" x14ac:dyDescent="0.3">
      <c r="A197" s="7">
        <v>44629.03125</v>
      </c>
      <c r="B197" s="7">
        <v>44629.041666666664</v>
      </c>
      <c r="C197" s="3">
        <f>14366814/10^5</f>
        <v>143.66813999999999</v>
      </c>
      <c r="D197" s="3">
        <f>1142995/10^5</f>
        <v>11.42995</v>
      </c>
      <c r="E197" s="3"/>
      <c r="F197" s="3"/>
      <c r="G197" s="3">
        <f>13223819/10^5</f>
        <v>132.23819</v>
      </c>
      <c r="H197" s="3">
        <f>3678111096/10^7</f>
        <v>367.81110960000001</v>
      </c>
      <c r="I197" s="3">
        <f>3674/10^1</f>
        <v>367.4</v>
      </c>
      <c r="J197" s="3">
        <f t="shared" ref="J197:J213" si="11">0/10^0</f>
        <v>0</v>
      </c>
      <c r="K197" s="3">
        <f>1785374056/10^8</f>
        <v>17.853740559999999</v>
      </c>
      <c r="L197" s="3">
        <f>35127585/10^8</f>
        <v>0.35127585</v>
      </c>
      <c r="M197" s="3">
        <f>325396311/10^8</f>
        <v>3.2539631099999999</v>
      </c>
      <c r="N197" s="5"/>
    </row>
    <row r="198" spans="1:14" x14ac:dyDescent="0.3">
      <c r="A198" s="7">
        <v>44629.041666666664</v>
      </c>
      <c r="B198" s="7">
        <v>44629.052083333336</v>
      </c>
      <c r="C198" s="3">
        <f>20658948/10^5</f>
        <v>206.58948000000001</v>
      </c>
      <c r="D198" s="3">
        <f>126494/10^5</f>
        <v>1.26494</v>
      </c>
      <c r="E198" s="3"/>
      <c r="F198" s="3"/>
      <c r="G198" s="3">
        <f>20532454/10^5</f>
        <v>205.32454000000001</v>
      </c>
      <c r="H198" s="3">
        <f>4998199995/10^7</f>
        <v>499.81999949999999</v>
      </c>
      <c r="I198" s="3">
        <f>49982/10^2</f>
        <v>499.82</v>
      </c>
      <c r="J198" s="3">
        <f t="shared" si="11"/>
        <v>0</v>
      </c>
      <c r="K198" s="3">
        <f>1963971727/10^8</f>
        <v>19.639717269999998</v>
      </c>
      <c r="L198" s="3">
        <f>49689524/10^8</f>
        <v>0.49689524000000002</v>
      </c>
      <c r="M198" s="3">
        <f>640979536/10^8</f>
        <v>6.4097953600000004</v>
      </c>
      <c r="N198" s="5"/>
    </row>
    <row r="199" spans="1:14" x14ac:dyDescent="0.3">
      <c r="A199" s="7">
        <v>44629.052083333336</v>
      </c>
      <c r="B199" s="7">
        <v>44629.0625</v>
      </c>
      <c r="C199" s="3">
        <f>23043618/10^5</f>
        <v>230.43618000000001</v>
      </c>
      <c r="D199" s="3">
        <f>577946/10^5</f>
        <v>5.7794600000000003</v>
      </c>
      <c r="E199" s="3"/>
      <c r="F199" s="3"/>
      <c r="G199" s="3">
        <f>22465672/10^5</f>
        <v>224.65672000000001</v>
      </c>
      <c r="H199" s="3">
        <f>4998199996/10^7</f>
        <v>499.81999960000002</v>
      </c>
      <c r="I199" s="3">
        <f>49982/10^2</f>
        <v>499.82</v>
      </c>
      <c r="J199" s="3">
        <f t="shared" si="11"/>
        <v>0</v>
      </c>
      <c r="K199" s="3">
        <f>1902450335/10^8</f>
        <v>19.02450335</v>
      </c>
      <c r="L199" s="3">
        <f>49940501/10^8</f>
        <v>0.49940500999999998</v>
      </c>
      <c r="M199" s="3">
        <f>164322398/10^8</f>
        <v>1.6432239799999999</v>
      </c>
      <c r="N199" s="5"/>
    </row>
    <row r="200" spans="1:14" x14ac:dyDescent="0.3">
      <c r="A200" s="7">
        <v>44629.0625</v>
      </c>
      <c r="B200" s="7">
        <v>44629.072916666664</v>
      </c>
      <c r="C200" s="3">
        <f>24313627/10^5</f>
        <v>243.13627</v>
      </c>
      <c r="D200" s="3">
        <f>578277/10^4</f>
        <v>57.8277</v>
      </c>
      <c r="E200" s="3"/>
      <c r="F200" s="3"/>
      <c r="G200" s="3">
        <f>18530857/10^5</f>
        <v>185.30857</v>
      </c>
      <c r="H200" s="3">
        <f>3728403833/10^7</f>
        <v>372.84038329999998</v>
      </c>
      <c r="I200" s="3">
        <f>3698/10^1</f>
        <v>369.8</v>
      </c>
      <c r="J200" s="3">
        <f t="shared" si="11"/>
        <v>0</v>
      </c>
      <c r="K200" s="3">
        <f>1773704977/10^8</f>
        <v>17.737049769999999</v>
      </c>
      <c r="L200" s="3">
        <f>50424324/10^8</f>
        <v>0.50424323999999998</v>
      </c>
      <c r="M200" s="3">
        <f>1793815818/10^8</f>
        <v>17.938158179999999</v>
      </c>
      <c r="N200" s="5"/>
    </row>
    <row r="201" spans="1:14" x14ac:dyDescent="0.3">
      <c r="A201" s="7">
        <v>44629.072916666664</v>
      </c>
      <c r="B201" s="7">
        <v>44629.083333333336</v>
      </c>
      <c r="C201" s="3">
        <f>21535498/10^5</f>
        <v>215.35498000000001</v>
      </c>
      <c r="D201" s="3">
        <f>274156/10^4</f>
        <v>27.415600000000001</v>
      </c>
      <c r="E201" s="3"/>
      <c r="F201" s="3"/>
      <c r="G201" s="3">
        <f>18793938/10^5</f>
        <v>187.93938</v>
      </c>
      <c r="H201" s="3">
        <f>3725917692/10^7</f>
        <v>372.59176919999999</v>
      </c>
      <c r="I201" s="3">
        <f>3698/10^1</f>
        <v>369.8</v>
      </c>
      <c r="J201" s="3">
        <f t="shared" si="11"/>
        <v>0</v>
      </c>
      <c r="K201" s="3">
        <f>1754352873/10^8</f>
        <v>17.543528729999998</v>
      </c>
      <c r="L201" s="3">
        <f>50293077/10^8</f>
        <v>0.50293076999999997</v>
      </c>
      <c r="M201" s="3">
        <f>857810665/10^8</f>
        <v>8.5781066500000005</v>
      </c>
      <c r="N201" s="5"/>
    </row>
    <row r="202" spans="1:14" x14ac:dyDescent="0.3">
      <c r="A202" s="7">
        <v>44629.083333333336</v>
      </c>
      <c r="B202" s="7">
        <v>44629.09375</v>
      </c>
      <c r="C202" s="3">
        <f>22302035/10^5</f>
        <v>223.02035000000001</v>
      </c>
      <c r="D202" s="3">
        <f>147206/10^4</f>
        <v>14.720599999999999</v>
      </c>
      <c r="E202" s="3"/>
      <c r="F202" s="3"/>
      <c r="G202" s="3">
        <f>20829975/10^5</f>
        <v>208.29974999999999</v>
      </c>
      <c r="H202" s="3">
        <f>3709938141/10^7</f>
        <v>370.99381410000001</v>
      </c>
      <c r="I202" s="3">
        <f t="shared" ref="I202:I209" si="12">3674/10^1</f>
        <v>367.4</v>
      </c>
      <c r="J202" s="3">
        <f t="shared" si="11"/>
        <v>0</v>
      </c>
      <c r="K202" s="3">
        <f>1249883945/10^8</f>
        <v>12.49883945</v>
      </c>
      <c r="L202" s="3">
        <f>43395715/10^8</f>
        <v>0.43395715000000001</v>
      </c>
      <c r="M202" s="3">
        <f>753583221/10^8</f>
        <v>7.5358322099999997</v>
      </c>
      <c r="N202" s="5"/>
    </row>
    <row r="203" spans="1:14" x14ac:dyDescent="0.3">
      <c r="A203" s="7">
        <v>44629.09375</v>
      </c>
      <c r="B203" s="7">
        <v>44629.104166666664</v>
      </c>
      <c r="C203" s="3">
        <f>2069036/10^4</f>
        <v>206.90360000000001</v>
      </c>
      <c r="D203" s="3">
        <f>175314/10^4</f>
        <v>17.531400000000001</v>
      </c>
      <c r="E203" s="3"/>
      <c r="F203" s="3"/>
      <c r="G203" s="3">
        <f>1893722/10^4</f>
        <v>189.37219999999999</v>
      </c>
      <c r="H203" s="3">
        <f>3690789504/10^7</f>
        <v>369.0789504</v>
      </c>
      <c r="I203" s="3">
        <f t="shared" si="12"/>
        <v>367.4</v>
      </c>
      <c r="J203" s="3">
        <f t="shared" si="11"/>
        <v>0</v>
      </c>
      <c r="K203" s="3">
        <f>1334180276/10^8</f>
        <v>13.34180276</v>
      </c>
      <c r="L203" s="3">
        <f>44187063/10^8</f>
        <v>0.44187062999999999</v>
      </c>
      <c r="M203" s="3">
        <f>588144245/10^8</f>
        <v>5.8814424499999998</v>
      </c>
      <c r="N203" s="5"/>
    </row>
    <row r="204" spans="1:14" x14ac:dyDescent="0.3">
      <c r="A204" s="7">
        <v>44629.104166666664</v>
      </c>
      <c r="B204" s="7">
        <v>44629.114583333336</v>
      </c>
      <c r="C204" s="3">
        <f>20143698/10^5</f>
        <v>201.43698000000001</v>
      </c>
      <c r="D204" s="3">
        <f>440366/10^5</f>
        <v>4.4036600000000004</v>
      </c>
      <c r="E204" s="3"/>
      <c r="F204" s="3"/>
      <c r="G204" s="3">
        <f>19703332/10^5</f>
        <v>197.03332</v>
      </c>
      <c r="H204" s="3">
        <f>3694969182/10^7</f>
        <v>369.49691819999998</v>
      </c>
      <c r="I204" s="3">
        <f t="shared" si="12"/>
        <v>367.4</v>
      </c>
      <c r="J204" s="3">
        <f t="shared" si="11"/>
        <v>0</v>
      </c>
      <c r="K204" s="3">
        <f>1358599191/10^8</f>
        <v>13.585991910000001</v>
      </c>
      <c r="L204" s="3">
        <f>56443697/10^8</f>
        <v>0.56443697000000004</v>
      </c>
      <c r="M204" s="3">
        <f>181498414/10^8</f>
        <v>1.81498414</v>
      </c>
      <c r="N204" s="5"/>
    </row>
    <row r="205" spans="1:14" x14ac:dyDescent="0.3">
      <c r="A205" s="7">
        <v>44629.114583333336</v>
      </c>
      <c r="B205" s="7">
        <v>44629.125</v>
      </c>
      <c r="C205" s="3">
        <f>20352553/10^5</f>
        <v>203.52553</v>
      </c>
      <c r="D205" s="3">
        <f>101014/10^4</f>
        <v>10.1014</v>
      </c>
      <c r="E205" s="3"/>
      <c r="F205" s="3"/>
      <c r="G205" s="3">
        <f>19342413/10^5</f>
        <v>193.42412999999999</v>
      </c>
      <c r="H205" s="3">
        <f>3682443384/10^7</f>
        <v>368.2443384</v>
      </c>
      <c r="I205" s="3">
        <f t="shared" si="12"/>
        <v>367.4</v>
      </c>
      <c r="J205" s="3">
        <f t="shared" si="11"/>
        <v>0</v>
      </c>
      <c r="K205" s="3">
        <f>1379754232/10^8</f>
        <v>13.79754232</v>
      </c>
      <c r="L205" s="3">
        <f>56494959/10^8</f>
        <v>0.56494959</v>
      </c>
      <c r="M205" s="3">
        <f>323083348/10^8</f>
        <v>3.2308334799999998</v>
      </c>
      <c r="N205" s="5"/>
    </row>
    <row r="206" spans="1:14" x14ac:dyDescent="0.3">
      <c r="A206" s="7">
        <v>44629.125</v>
      </c>
      <c r="B206" s="7">
        <v>44629.135416666664</v>
      </c>
      <c r="C206" s="3">
        <f>21893722/10^5</f>
        <v>218.93722</v>
      </c>
      <c r="D206" s="3">
        <f>2750749/10^5</f>
        <v>27.507490000000001</v>
      </c>
      <c r="E206" s="3"/>
      <c r="F206" s="3"/>
      <c r="G206" s="3">
        <f>19142973/10^5</f>
        <v>191.42973000000001</v>
      </c>
      <c r="H206" s="3">
        <f>3681038107/10^7</f>
        <v>368.1038107</v>
      </c>
      <c r="I206" s="3">
        <f t="shared" si="12"/>
        <v>367.4</v>
      </c>
      <c r="J206" s="3">
        <f t="shared" si="11"/>
        <v>0</v>
      </c>
      <c r="K206" s="3">
        <f>1350693613/10^8</f>
        <v>13.50693613</v>
      </c>
      <c r="L206" s="3">
        <f>52810218/10^8</f>
        <v>0.52810217999999998</v>
      </c>
      <c r="M206" s="3">
        <f>937497264/10^8</f>
        <v>9.3749726399999993</v>
      </c>
      <c r="N206" s="5"/>
    </row>
    <row r="207" spans="1:14" x14ac:dyDescent="0.3">
      <c r="A207" s="7">
        <v>44629.135416666664</v>
      </c>
      <c r="B207" s="7">
        <v>44629.145833333336</v>
      </c>
      <c r="C207" s="3">
        <f>1820819/10^4</f>
        <v>182.08189999999999</v>
      </c>
      <c r="D207" s="3">
        <f>1590485/10^5</f>
        <v>15.90485</v>
      </c>
      <c r="E207" s="3"/>
      <c r="F207" s="3"/>
      <c r="G207" s="3">
        <f>16617705/10^5</f>
        <v>166.17705000000001</v>
      </c>
      <c r="H207" s="3">
        <f>3682471105/10^7</f>
        <v>368.24711050000002</v>
      </c>
      <c r="I207" s="3">
        <f t="shared" si="12"/>
        <v>367.4</v>
      </c>
      <c r="J207" s="3">
        <f t="shared" si="11"/>
        <v>0</v>
      </c>
      <c r="K207" s="3">
        <f>1345390371/10^8</f>
        <v>13.453903710000001</v>
      </c>
      <c r="L207" s="3">
        <f>53424489/10^8</f>
        <v>0.53424488999999997</v>
      </c>
      <c r="M207" s="3">
        <f>595219253/10^8</f>
        <v>5.9521925299999996</v>
      </c>
      <c r="N207" s="5"/>
    </row>
    <row r="208" spans="1:14" x14ac:dyDescent="0.3">
      <c r="A208" s="7">
        <v>44629.145833333336</v>
      </c>
      <c r="B208" s="7">
        <v>44629.15625</v>
      </c>
      <c r="C208" s="3">
        <f>18609854/10^5</f>
        <v>186.09854000000001</v>
      </c>
      <c r="D208" s="3">
        <f>1167336/10^5</f>
        <v>11.673360000000001</v>
      </c>
      <c r="E208" s="3"/>
      <c r="F208" s="3"/>
      <c r="G208" s="3">
        <f>17442518/10^5</f>
        <v>174.42518000000001</v>
      </c>
      <c r="H208" s="3">
        <f>3682268124/10^7</f>
        <v>368.22681239999997</v>
      </c>
      <c r="I208" s="3">
        <f t="shared" si="12"/>
        <v>367.4</v>
      </c>
      <c r="J208" s="3">
        <f t="shared" si="11"/>
        <v>0</v>
      </c>
      <c r="K208" s="3">
        <f>1368263897/10^8</f>
        <v>13.682638969999999</v>
      </c>
      <c r="L208" s="3">
        <f>54020697/10^8</f>
        <v>0.54020696999999995</v>
      </c>
      <c r="M208" s="3">
        <f>48659709/10^7</f>
        <v>4.8659708999999998</v>
      </c>
      <c r="N208" s="5"/>
    </row>
    <row r="209" spans="1:14" x14ac:dyDescent="0.3">
      <c r="A209" s="7">
        <v>44629.15625</v>
      </c>
      <c r="B209" s="7">
        <v>44629.166666666664</v>
      </c>
      <c r="C209" s="3">
        <f>17277929/10^5</f>
        <v>172.77929</v>
      </c>
      <c r="D209" s="3">
        <f>16969/10^3</f>
        <v>16.969000000000001</v>
      </c>
      <c r="E209" s="3"/>
      <c r="F209" s="3"/>
      <c r="G209" s="3">
        <f>15581029/10^5</f>
        <v>155.81029000000001</v>
      </c>
      <c r="H209" s="3">
        <f>3682918603/10^7</f>
        <v>368.2918603</v>
      </c>
      <c r="I209" s="3">
        <f t="shared" si="12"/>
        <v>367.4</v>
      </c>
      <c r="J209" s="3">
        <f t="shared" si="11"/>
        <v>0</v>
      </c>
      <c r="K209" s="3">
        <f>1411200994/10^8</f>
        <v>14.11200994</v>
      </c>
      <c r="L209" s="3">
        <f>53983877/10^8</f>
        <v>0.53983877000000002</v>
      </c>
      <c r="M209" s="3">
        <f>825696586/10^8</f>
        <v>8.2569658599999993</v>
      </c>
      <c r="N209" s="5"/>
    </row>
    <row r="210" spans="1:14" x14ac:dyDescent="0.3">
      <c r="A210" s="7">
        <v>44629.166666666664</v>
      </c>
      <c r="B210" s="7">
        <v>44629.177083333336</v>
      </c>
      <c r="C210" s="3">
        <f>12870202/10^5</f>
        <v>128.70202</v>
      </c>
      <c r="D210" s="3">
        <f>497989/10^5</f>
        <v>4.9798900000000001</v>
      </c>
      <c r="E210" s="3"/>
      <c r="F210" s="3"/>
      <c r="G210" s="3">
        <f>12372213/10^5</f>
        <v>123.72213000000001</v>
      </c>
      <c r="H210" s="3">
        <f>3752168217/10^7</f>
        <v>375.21682170000003</v>
      </c>
      <c r="I210" s="3">
        <f>3698/10^1</f>
        <v>369.8</v>
      </c>
      <c r="J210" s="3">
        <f t="shared" si="11"/>
        <v>0</v>
      </c>
      <c r="K210" s="3">
        <f>1635844095/10^8</f>
        <v>16.358440949999999</v>
      </c>
      <c r="L210" s="3">
        <f>35726923/10^8</f>
        <v>0.35726922999999999</v>
      </c>
      <c r="M210" s="3">
        <f>-9507701/10^7</f>
        <v>-0.95077009999999995</v>
      </c>
      <c r="N210" s="5"/>
    </row>
    <row r="211" spans="1:14" x14ac:dyDescent="0.3">
      <c r="A211" s="7">
        <v>44629.177083333336</v>
      </c>
      <c r="B211" s="7">
        <v>44629.1875</v>
      </c>
      <c r="C211" s="3">
        <f>14734719/10^5</f>
        <v>147.34719000000001</v>
      </c>
      <c r="D211" s="3">
        <f>7303/10^5</f>
        <v>7.3029999999999998E-2</v>
      </c>
      <c r="E211" s="3"/>
      <c r="F211" s="3"/>
      <c r="G211" s="3">
        <f>14727416/10^5</f>
        <v>147.27415999999999</v>
      </c>
      <c r="H211" s="3">
        <f>3709804425/10^7</f>
        <v>370.98044249999998</v>
      </c>
      <c r="I211" s="3">
        <f>3698/10^1</f>
        <v>369.8</v>
      </c>
      <c r="J211" s="3">
        <f t="shared" si="11"/>
        <v>0</v>
      </c>
      <c r="K211" s="3">
        <f>1670114611/10^8</f>
        <v>16.70114611</v>
      </c>
      <c r="L211" s="3">
        <f>34765048/10^8</f>
        <v>0.34765047999999998</v>
      </c>
      <c r="M211" s="3">
        <f>-714506521/10^8</f>
        <v>-7.1450652100000003</v>
      </c>
      <c r="N211" s="5"/>
    </row>
    <row r="212" spans="1:14" x14ac:dyDescent="0.3">
      <c r="A212" s="7">
        <v>44629.1875</v>
      </c>
      <c r="B212" s="7">
        <v>44629.197916666664</v>
      </c>
      <c r="C212" s="3">
        <f>18443358/10^5</f>
        <v>184.43358000000001</v>
      </c>
      <c r="D212" s="3">
        <f>530854/10^5</f>
        <v>5.3085399999999998</v>
      </c>
      <c r="E212" s="3"/>
      <c r="F212" s="3"/>
      <c r="G212" s="3">
        <f>17912504/10^5</f>
        <v>179.12504000000001</v>
      </c>
      <c r="H212" s="3">
        <f>3698309269/10^7</f>
        <v>369.83092690000001</v>
      </c>
      <c r="I212" s="3">
        <f>3698/10^1</f>
        <v>369.8</v>
      </c>
      <c r="J212" s="3">
        <f t="shared" si="11"/>
        <v>0</v>
      </c>
      <c r="K212" s="3">
        <f>1679043786/10^8</f>
        <v>16.790437860000001</v>
      </c>
      <c r="L212" s="3">
        <f>34087035/10^8</f>
        <v>0.34087034999999999</v>
      </c>
      <c r="M212" s="3">
        <f>240772059/10^8</f>
        <v>2.4077205899999998</v>
      </c>
      <c r="N212" s="5"/>
    </row>
    <row r="213" spans="1:14" x14ac:dyDescent="0.3">
      <c r="A213" s="7">
        <v>44629.197916666664</v>
      </c>
      <c r="B213" s="7">
        <v>44629.208333333336</v>
      </c>
      <c r="C213" s="3">
        <f>19059049/10^5</f>
        <v>190.59048999999999</v>
      </c>
      <c r="D213" s="3">
        <f>44242/10^4</f>
        <v>4.4241999999999999</v>
      </c>
      <c r="E213" s="3"/>
      <c r="F213" s="3"/>
      <c r="G213" s="3">
        <f>18616629/10^5</f>
        <v>186.16629</v>
      </c>
      <c r="H213" s="3">
        <f>3704135171/10^7</f>
        <v>370.41351709999998</v>
      </c>
      <c r="I213" s="3">
        <f>3698/10^1</f>
        <v>369.8</v>
      </c>
      <c r="J213" s="3">
        <f t="shared" si="11"/>
        <v>0</v>
      </c>
      <c r="K213" s="3">
        <f>1679218189/10^8</f>
        <v>16.792181889999998</v>
      </c>
      <c r="L213" s="3">
        <f>33543059/10^8</f>
        <v>0.33543058999999997</v>
      </c>
      <c r="M213" s="3">
        <f>207070837/10^8</f>
        <v>2.0707083700000002</v>
      </c>
      <c r="N213" s="5"/>
    </row>
    <row r="214" spans="1:14" x14ac:dyDescent="0.3">
      <c r="A214" s="7">
        <v>44629.208333333336</v>
      </c>
      <c r="B214" s="7">
        <v>44629.21875</v>
      </c>
      <c r="C214" s="3">
        <f>18495821/10^5</f>
        <v>184.95821000000001</v>
      </c>
      <c r="D214" s="3">
        <f>2118496/10^5</f>
        <v>21.18496</v>
      </c>
      <c r="E214" s="3"/>
      <c r="F214" s="3"/>
      <c r="G214" s="3">
        <f>16377325/10^5</f>
        <v>163.77324999999999</v>
      </c>
      <c r="H214" s="3">
        <f>484/10^0</f>
        <v>484</v>
      </c>
      <c r="I214" s="3">
        <f>484/10^0</f>
        <v>484</v>
      </c>
      <c r="J214" s="3">
        <f>18477/10^2</f>
        <v>184.77</v>
      </c>
      <c r="K214" s="3">
        <f>2475035473/10^8</f>
        <v>24.750354730000002</v>
      </c>
      <c r="L214" s="3">
        <f>256537313/10^8</f>
        <v>2.5653731299999998</v>
      </c>
      <c r="M214" s="3">
        <f>300845915/10^8</f>
        <v>3.0084591500000002</v>
      </c>
      <c r="N214" s="5"/>
    </row>
    <row r="215" spans="1:14" x14ac:dyDescent="0.3">
      <c r="A215" s="7">
        <v>44629.21875</v>
      </c>
      <c r="B215" s="7">
        <v>44629.229166666664</v>
      </c>
      <c r="C215" s="3">
        <f>24585031/10^5</f>
        <v>245.85031000000001</v>
      </c>
      <c r="D215" s="3">
        <f>365579/10^5</f>
        <v>3.6557900000000001</v>
      </c>
      <c r="E215" s="3"/>
      <c r="F215" s="3"/>
      <c r="G215" s="3">
        <f>24219452/10^5</f>
        <v>242.19452000000001</v>
      </c>
      <c r="H215" s="3">
        <f>3854397553/10^7</f>
        <v>385.4397553</v>
      </c>
      <c r="I215" s="3">
        <f>3833/10^1</f>
        <v>383.3</v>
      </c>
      <c r="J215" s="3">
        <f>18477/10^2</f>
        <v>184.77</v>
      </c>
      <c r="K215" s="3">
        <f>2216552701/10^8</f>
        <v>22.165527010000002</v>
      </c>
      <c r="L215" s="3">
        <f>259514217/10^8</f>
        <v>2.5951421699999999</v>
      </c>
      <c r="M215" s="3">
        <f>12464947/10^7</f>
        <v>1.2464947</v>
      </c>
      <c r="N215" s="5"/>
    </row>
    <row r="216" spans="1:14" x14ac:dyDescent="0.3">
      <c r="A216" s="7">
        <v>44629.229166666664</v>
      </c>
      <c r="B216" s="7">
        <v>44629.239583333336</v>
      </c>
      <c r="C216" s="3">
        <f>2343173/10^4</f>
        <v>234.31729999999999</v>
      </c>
      <c r="D216" s="3">
        <f>10096/10^3</f>
        <v>10.096</v>
      </c>
      <c r="E216" s="3"/>
      <c r="F216" s="3"/>
      <c r="G216" s="3">
        <f>2242213/10^4</f>
        <v>224.22130000000001</v>
      </c>
      <c r="H216" s="3">
        <f>3844980782/10^7</f>
        <v>384.49807820000001</v>
      </c>
      <c r="I216" s="3">
        <f>3833/10^1</f>
        <v>383.3</v>
      </c>
      <c r="J216" s="3">
        <f>0/10^0</f>
        <v>0</v>
      </c>
      <c r="K216" s="3">
        <f>218661578/10^7</f>
        <v>21.8661578</v>
      </c>
      <c r="L216" s="3">
        <f>254153968/10^8</f>
        <v>2.5415396800000001</v>
      </c>
      <c r="M216" s="3">
        <f>35712618/10^7</f>
        <v>3.5712617999999998</v>
      </c>
      <c r="N216" s="5"/>
    </row>
    <row r="217" spans="1:14" x14ac:dyDescent="0.3">
      <c r="A217" s="7">
        <v>44629.239583333336</v>
      </c>
      <c r="B217" s="7">
        <v>44629.25</v>
      </c>
      <c r="C217" s="3">
        <f>21865826/10^5</f>
        <v>218.65826000000001</v>
      </c>
      <c r="D217" s="3">
        <f>737178/10^5</f>
        <v>7.3717800000000002</v>
      </c>
      <c r="E217" s="3"/>
      <c r="F217" s="3"/>
      <c r="G217" s="3">
        <f>21128648/10^5</f>
        <v>211.28648000000001</v>
      </c>
      <c r="H217" s="3">
        <f>3844561202/10^7</f>
        <v>384.45612019999999</v>
      </c>
      <c r="I217" s="3">
        <f>3833/10^1</f>
        <v>383.3</v>
      </c>
      <c r="J217" s="3">
        <f>0/10^0</f>
        <v>0</v>
      </c>
      <c r="K217" s="3">
        <f>2117462228/10^8</f>
        <v>21.174622280000001</v>
      </c>
      <c r="L217" s="3">
        <f>250527019/10^8</f>
        <v>2.5052701900000001</v>
      </c>
      <c r="M217" s="3">
        <f>-169926673/10^8</f>
        <v>-1.6992667299999999</v>
      </c>
      <c r="N217" s="5"/>
    </row>
    <row r="218" spans="1:14" x14ac:dyDescent="0.3">
      <c r="A218" s="7">
        <v>44629.25</v>
      </c>
      <c r="B218" s="7">
        <v>44629.260416666664</v>
      </c>
      <c r="C218" s="3">
        <f>27210621/10^5</f>
        <v>272.10620999999998</v>
      </c>
      <c r="D218" s="3">
        <f>11616827/10^5</f>
        <v>116.16827000000001</v>
      </c>
      <c r="E218" s="3"/>
      <c r="F218" s="3"/>
      <c r="G218" s="3">
        <f>15593794/10^5</f>
        <v>155.93794</v>
      </c>
      <c r="H218" s="3">
        <f>3697999997/10^7</f>
        <v>369.7999997</v>
      </c>
      <c r="I218" s="3">
        <f>3698/10^1</f>
        <v>369.8</v>
      </c>
      <c r="J218" s="3">
        <f>0/10^0</f>
        <v>0</v>
      </c>
      <c r="K218" s="3">
        <f>18947007/10^6</f>
        <v>18.947006999999999</v>
      </c>
      <c r="L218" s="3">
        <f>289347921/10^8</f>
        <v>2.8934792100000002</v>
      </c>
      <c r="M218" s="3">
        <f>309920055/10^7</f>
        <v>30.992005500000001</v>
      </c>
      <c r="N218" s="5"/>
    </row>
    <row r="219" spans="1:14" x14ac:dyDescent="0.3">
      <c r="A219" s="7">
        <v>44629.260416666664</v>
      </c>
      <c r="B219" s="7">
        <v>44629.270833333336</v>
      </c>
      <c r="C219" s="3">
        <f>31736023/10^5</f>
        <v>317.36023</v>
      </c>
      <c r="D219" s="3">
        <f>921478/10^4</f>
        <v>92.147800000000004</v>
      </c>
      <c r="E219" s="3"/>
      <c r="F219" s="3"/>
      <c r="G219" s="3">
        <f>22521243/10^5</f>
        <v>225.21243000000001</v>
      </c>
      <c r="H219" s="3">
        <f>369802099/10^6</f>
        <v>369.802099</v>
      </c>
      <c r="I219" s="3">
        <f>3698/10^1</f>
        <v>369.8</v>
      </c>
      <c r="J219" s="3">
        <f>18506/10^2</f>
        <v>185.06</v>
      </c>
      <c r="K219" s="3">
        <f>1780671819/10^8</f>
        <v>17.806718190000002</v>
      </c>
      <c r="L219" s="3">
        <f>274443269/10^8</f>
        <v>2.74443269</v>
      </c>
      <c r="M219" s="3">
        <f>1205048075/10^8</f>
        <v>12.05048075</v>
      </c>
      <c r="N219" s="5"/>
    </row>
    <row r="220" spans="1:14" x14ac:dyDescent="0.3">
      <c r="A220" s="7">
        <v>44629.270833333336</v>
      </c>
      <c r="B220" s="7">
        <v>44629.28125</v>
      </c>
      <c r="C220" s="3">
        <f>38178234/10^5</f>
        <v>381.78233999999998</v>
      </c>
      <c r="D220" s="3">
        <f>9773893/10^5</f>
        <v>97.738929999999996</v>
      </c>
      <c r="E220" s="3"/>
      <c r="F220" s="3"/>
      <c r="G220" s="3">
        <f>28404341/10^5</f>
        <v>284.04340999999999</v>
      </c>
      <c r="H220" s="3">
        <f>3698269482/10^7</f>
        <v>369.8269482</v>
      </c>
      <c r="I220" s="3">
        <f>3698/10^1</f>
        <v>369.8</v>
      </c>
      <c r="J220" s="3">
        <f>18506/10^2</f>
        <v>185.06</v>
      </c>
      <c r="K220" s="3">
        <f>1705175669/10^8</f>
        <v>17.051756690000001</v>
      </c>
      <c r="L220" s="3">
        <f>257268167/10^8</f>
        <v>2.5726816700000001</v>
      </c>
      <c r="M220" s="3">
        <f>1317679089/10^8</f>
        <v>13.176790889999999</v>
      </c>
      <c r="N220" s="5"/>
    </row>
    <row r="221" spans="1:14" x14ac:dyDescent="0.3">
      <c r="A221" s="7">
        <v>44629.28125</v>
      </c>
      <c r="B221" s="7">
        <v>44629.291666666664</v>
      </c>
      <c r="C221" s="3">
        <f>32370244/10^5</f>
        <v>323.70244000000002</v>
      </c>
      <c r="D221" s="3">
        <f>13191436/10^5</f>
        <v>131.91435999999999</v>
      </c>
      <c r="E221" s="3"/>
      <c r="F221" s="3"/>
      <c r="G221" s="3">
        <f>19178808/10^5</f>
        <v>191.78808000000001</v>
      </c>
      <c r="H221" s="3">
        <f>3697999999/10^7</f>
        <v>369.79999989999999</v>
      </c>
      <c r="I221" s="3">
        <f>3698/10^1</f>
        <v>369.8</v>
      </c>
      <c r="J221" s="3">
        <f>18506/10^2</f>
        <v>185.06</v>
      </c>
      <c r="K221" s="3">
        <f>1554400321/10^8</f>
        <v>15.54400321</v>
      </c>
      <c r="L221" s="3">
        <f>256189526/10^8</f>
        <v>2.56189526</v>
      </c>
      <c r="M221" s="3">
        <f>1769013704/10^8</f>
        <v>17.69013704</v>
      </c>
      <c r="N221" s="5"/>
    </row>
    <row r="222" spans="1:14" x14ac:dyDescent="0.3">
      <c r="A222" s="7">
        <v>44629.291666666664</v>
      </c>
      <c r="B222" s="7">
        <v>44629.302083333336</v>
      </c>
      <c r="C222" s="3">
        <f>20165042/10^5</f>
        <v>201.65042</v>
      </c>
      <c r="D222" s="3">
        <f>1028248/10^4</f>
        <v>102.8248</v>
      </c>
      <c r="E222" s="3"/>
      <c r="F222" s="3"/>
      <c r="G222" s="3">
        <f>9882562/10^5</f>
        <v>98.825620000000001</v>
      </c>
      <c r="H222" s="3">
        <f>4568199999/10^7</f>
        <v>456.81999990000003</v>
      </c>
      <c r="I222" s="3">
        <f>45682/10^2</f>
        <v>456.82</v>
      </c>
      <c r="J222" s="3">
        <f>149/10^0</f>
        <v>149</v>
      </c>
      <c r="K222" s="3">
        <f>1928247099/10^8</f>
        <v>19.28247099</v>
      </c>
      <c r="L222" s="3">
        <f>391727658/10^8</f>
        <v>3.9172765799999998</v>
      </c>
      <c r="M222" s="3">
        <f>205941062/10^7</f>
        <v>20.594106199999999</v>
      </c>
      <c r="N222" s="5"/>
    </row>
    <row r="223" spans="1:14" x14ac:dyDescent="0.3">
      <c r="A223" s="7">
        <v>44629.302083333336</v>
      </c>
      <c r="B223" s="7">
        <v>44629.3125</v>
      </c>
      <c r="C223" s="3">
        <f>20971899/10^5</f>
        <v>209.71898999999999</v>
      </c>
      <c r="D223" s="3">
        <f>8259278/10^5</f>
        <v>82.592780000000005</v>
      </c>
      <c r="E223" s="3"/>
      <c r="F223" s="3"/>
      <c r="G223" s="3">
        <f>12712621/10^5</f>
        <v>127.12621</v>
      </c>
      <c r="H223" s="3">
        <f>4568199999/10^7</f>
        <v>456.81999990000003</v>
      </c>
      <c r="I223" s="3">
        <f>45682/10^2</f>
        <v>456.82</v>
      </c>
      <c r="J223" s="3">
        <f t="shared" ref="J223:J233" si="13">18506/10^2</f>
        <v>185.06</v>
      </c>
      <c r="K223" s="3">
        <f>1835709102/10^8</f>
        <v>18.357091019999999</v>
      </c>
      <c r="L223" s="3">
        <f>376410404/10^8</f>
        <v>3.7641040399999999</v>
      </c>
      <c r="M223" s="3">
        <f>1290273674/10^8</f>
        <v>12.90273674</v>
      </c>
      <c r="N223" s="5"/>
    </row>
    <row r="224" spans="1:14" x14ac:dyDescent="0.3">
      <c r="A224" s="7">
        <v>44629.3125</v>
      </c>
      <c r="B224" s="7">
        <v>44629.322916666664</v>
      </c>
      <c r="C224" s="3">
        <f>23166099/10^5</f>
        <v>231.66099</v>
      </c>
      <c r="D224" s="3">
        <f>7602947/10^5</f>
        <v>76.029470000000003</v>
      </c>
      <c r="E224" s="3"/>
      <c r="F224" s="3"/>
      <c r="G224" s="3">
        <f>15563152/10^5</f>
        <v>155.63151999999999</v>
      </c>
      <c r="H224" s="3">
        <f>4600196282/10^7</f>
        <v>460.0196282</v>
      </c>
      <c r="I224" s="3">
        <f>45682/10^2</f>
        <v>456.82</v>
      </c>
      <c r="J224" s="3">
        <f t="shared" si="13"/>
        <v>185.06</v>
      </c>
      <c r="K224" s="3">
        <f>1897138589/10^8</f>
        <v>18.971385890000001</v>
      </c>
      <c r="L224" s="3">
        <f>359793369/10^8</f>
        <v>3.5979336900000001</v>
      </c>
      <c r="M224" s="3">
        <f>1344968257/10^8</f>
        <v>13.44968257</v>
      </c>
      <c r="N224" s="5"/>
    </row>
    <row r="225" spans="1:14" x14ac:dyDescent="0.3">
      <c r="A225" s="7">
        <v>44629.322916666664</v>
      </c>
      <c r="B225" s="7">
        <v>44629.333333333336</v>
      </c>
      <c r="C225" s="3">
        <f>20863016/10^5</f>
        <v>208.63015999999999</v>
      </c>
      <c r="D225" s="3">
        <f>8391423/10^5</f>
        <v>83.914230000000003</v>
      </c>
      <c r="E225" s="3"/>
      <c r="F225" s="3"/>
      <c r="G225" s="3">
        <f>12471593/10^5</f>
        <v>124.71593</v>
      </c>
      <c r="H225" s="3">
        <f>4568199999/10^7</f>
        <v>456.81999990000003</v>
      </c>
      <c r="I225" s="3">
        <f>45682/10^2</f>
        <v>456.82</v>
      </c>
      <c r="J225" s="3">
        <f t="shared" si="13"/>
        <v>185.06</v>
      </c>
      <c r="K225" s="3">
        <f>1802148414/10^8</f>
        <v>18.021484139999998</v>
      </c>
      <c r="L225" s="3">
        <f>358535546/10^8</f>
        <v>3.5853554600000002</v>
      </c>
      <c r="M225" s="3">
        <f>966880885/10^8</f>
        <v>9.6688088499999996</v>
      </c>
      <c r="N225" s="5"/>
    </row>
    <row r="226" spans="1:14" x14ac:dyDescent="0.3">
      <c r="A226" s="7">
        <v>44629.333333333336</v>
      </c>
      <c r="B226" s="7">
        <v>44629.34375</v>
      </c>
      <c r="C226" s="3">
        <f>22803331/10^5</f>
        <v>228.03331</v>
      </c>
      <c r="D226" s="3">
        <f>763491/10^4</f>
        <v>76.349100000000007</v>
      </c>
      <c r="E226" s="3"/>
      <c r="F226" s="3"/>
      <c r="G226" s="3">
        <f>15168421/10^5</f>
        <v>151.68421000000001</v>
      </c>
      <c r="H226" s="3">
        <f>4123620974/10^7</f>
        <v>412.36209739999998</v>
      </c>
      <c r="I226" s="3">
        <f>4123/10^1</f>
        <v>412.3</v>
      </c>
      <c r="J226" s="3">
        <f t="shared" si="13"/>
        <v>185.06</v>
      </c>
      <c r="K226" s="3">
        <f>1636363728/10^8</f>
        <v>16.363637279999999</v>
      </c>
      <c r="L226" s="3">
        <f>243694316/10^8</f>
        <v>2.4369431600000002</v>
      </c>
      <c r="M226" s="3">
        <f>984372496/10^8</f>
        <v>9.8437249599999994</v>
      </c>
      <c r="N226" s="5"/>
    </row>
    <row r="227" spans="1:14" x14ac:dyDescent="0.3">
      <c r="A227" s="7">
        <v>44629.34375</v>
      </c>
      <c r="B227" s="7">
        <v>44629.354166666664</v>
      </c>
      <c r="C227" s="3">
        <f>23271045/10^5</f>
        <v>232.71045000000001</v>
      </c>
      <c r="D227" s="3">
        <f>8341589/10^5</f>
        <v>83.415890000000005</v>
      </c>
      <c r="E227" s="3"/>
      <c r="F227" s="3"/>
      <c r="G227" s="3">
        <f>14929456/10^5</f>
        <v>149.29455999999999</v>
      </c>
      <c r="H227" s="3">
        <f>4123023894/10^7</f>
        <v>412.30238939999998</v>
      </c>
      <c r="I227" s="3">
        <f>4123/10^1</f>
        <v>412.3</v>
      </c>
      <c r="J227" s="3">
        <f t="shared" si="13"/>
        <v>185.06</v>
      </c>
      <c r="K227" s="3">
        <f>1561951694/10^8</f>
        <v>15.61951694</v>
      </c>
      <c r="L227" s="3">
        <f>238297836/10^8</f>
        <v>2.3829783600000001</v>
      </c>
      <c r="M227" s="3">
        <f>562202262/10^8</f>
        <v>5.6220226200000001</v>
      </c>
      <c r="N227" s="5"/>
    </row>
    <row r="228" spans="1:14" x14ac:dyDescent="0.3">
      <c r="A228" s="7">
        <v>44629.354166666664</v>
      </c>
      <c r="B228" s="7">
        <v>44629.364583333336</v>
      </c>
      <c r="C228" s="3">
        <f>23175508/10^5</f>
        <v>231.75507999999999</v>
      </c>
      <c r="D228" s="3">
        <f>8776847/10^5</f>
        <v>87.768469999999994</v>
      </c>
      <c r="E228" s="3"/>
      <c r="F228" s="3"/>
      <c r="G228" s="3">
        <f>14398661/10^5</f>
        <v>143.98661000000001</v>
      </c>
      <c r="H228" s="3">
        <f>4122999999/10^7</f>
        <v>412.29999989999999</v>
      </c>
      <c r="I228" s="3">
        <f>4123/10^1</f>
        <v>412.3</v>
      </c>
      <c r="J228" s="3">
        <f t="shared" si="13"/>
        <v>185.06</v>
      </c>
      <c r="K228" s="3">
        <f>1613312949/10^8</f>
        <v>16.133129490000002</v>
      </c>
      <c r="L228" s="3">
        <f>309943533/10^8</f>
        <v>3.0994353299999999</v>
      </c>
      <c r="M228" s="3">
        <f>569340378/10^8</f>
        <v>5.6934037799999997</v>
      </c>
      <c r="N228" s="5"/>
    </row>
    <row r="229" spans="1:14" x14ac:dyDescent="0.3">
      <c r="A229" s="7">
        <v>44629.364583333336</v>
      </c>
      <c r="B229" s="7">
        <v>44629.375</v>
      </c>
      <c r="C229" s="3">
        <f>22725885/10^5</f>
        <v>227.25885</v>
      </c>
      <c r="D229" s="3">
        <f>8788181/10^5</f>
        <v>87.881810000000002</v>
      </c>
      <c r="E229" s="3"/>
      <c r="F229" s="3"/>
      <c r="G229" s="3">
        <f>13937704/10^5</f>
        <v>139.37703999999999</v>
      </c>
      <c r="H229" s="3">
        <f>4122999999/10^7</f>
        <v>412.29999989999999</v>
      </c>
      <c r="I229" s="3">
        <f>4123/10^1</f>
        <v>412.3</v>
      </c>
      <c r="J229" s="3">
        <f t="shared" si="13"/>
        <v>185.06</v>
      </c>
      <c r="K229" s="3">
        <f>1553864392/10^8</f>
        <v>15.53864392</v>
      </c>
      <c r="L229" s="3">
        <f>307894843/10^8</f>
        <v>3.0789484300000001</v>
      </c>
      <c r="M229" s="3">
        <f>519654022/10^8</f>
        <v>5.1965402200000002</v>
      </c>
      <c r="N229" s="5"/>
    </row>
    <row r="230" spans="1:14" x14ac:dyDescent="0.3">
      <c r="A230" s="7">
        <v>44629.375</v>
      </c>
      <c r="B230" s="7">
        <v>44629.385416666664</v>
      </c>
      <c r="C230" s="3">
        <f>22120079/10^5</f>
        <v>221.20079000000001</v>
      </c>
      <c r="D230" s="3">
        <f>7796022/10^5</f>
        <v>77.960220000000007</v>
      </c>
      <c r="E230" s="3"/>
      <c r="F230" s="3"/>
      <c r="G230" s="3">
        <f>14324057/10^5</f>
        <v>143.24056999999999</v>
      </c>
      <c r="H230" s="3">
        <f>3703047017/10^7</f>
        <v>370.30470170000001</v>
      </c>
      <c r="I230" s="3">
        <f>3698/10^1</f>
        <v>369.8</v>
      </c>
      <c r="J230" s="3">
        <f t="shared" si="13"/>
        <v>185.06</v>
      </c>
      <c r="K230" s="3">
        <f>1367023152/10^8</f>
        <v>13.67023152</v>
      </c>
      <c r="L230" s="3">
        <f>263224482/10^8</f>
        <v>2.6322448199999999</v>
      </c>
      <c r="M230" s="3">
        <f>185519418/10^8</f>
        <v>1.85519418</v>
      </c>
      <c r="N230" s="5"/>
    </row>
    <row r="231" spans="1:14" x14ac:dyDescent="0.3">
      <c r="A231" s="7">
        <v>44629.385416666664</v>
      </c>
      <c r="B231" s="7">
        <v>44629.395833333336</v>
      </c>
      <c r="C231" s="3">
        <f>22796595/10^5</f>
        <v>227.96594999999999</v>
      </c>
      <c r="D231" s="3">
        <f>7864043/10^5</f>
        <v>78.640429999999995</v>
      </c>
      <c r="E231" s="3"/>
      <c r="F231" s="3"/>
      <c r="G231" s="3">
        <f>14932552/10^5</f>
        <v>149.32552000000001</v>
      </c>
      <c r="H231" s="3">
        <f>3698/10^1</f>
        <v>369.8</v>
      </c>
      <c r="I231" s="3">
        <f>3698/10^1</f>
        <v>369.8</v>
      </c>
      <c r="J231" s="3">
        <f t="shared" si="13"/>
        <v>185.06</v>
      </c>
      <c r="K231" s="3">
        <f>1315459611/10^8</f>
        <v>13.15459611</v>
      </c>
      <c r="L231" s="3">
        <f>258676686/10^8</f>
        <v>2.58676686</v>
      </c>
      <c r="M231" s="3">
        <f>127493234/10^8</f>
        <v>1.2749323400000001</v>
      </c>
      <c r="N231" s="5"/>
    </row>
    <row r="232" spans="1:14" x14ac:dyDescent="0.3">
      <c r="A232" s="7">
        <v>44629.395833333336</v>
      </c>
      <c r="B232" s="7">
        <v>44629.40625</v>
      </c>
      <c r="C232" s="3">
        <f>19131695/10^5</f>
        <v>191.31694999999999</v>
      </c>
      <c r="D232" s="3">
        <f>9087141/10^5</f>
        <v>90.871409999999997</v>
      </c>
      <c r="E232" s="3"/>
      <c r="F232" s="3"/>
      <c r="G232" s="3">
        <f>10044554/10^5</f>
        <v>100.44553999999999</v>
      </c>
      <c r="H232" s="3">
        <f>3683683864/10^7</f>
        <v>368.36838640000002</v>
      </c>
      <c r="I232" s="3">
        <f>3681/10^1</f>
        <v>368.1</v>
      </c>
      <c r="J232" s="3">
        <f t="shared" si="13"/>
        <v>185.06</v>
      </c>
      <c r="K232" s="3">
        <f>127420865/10^7</f>
        <v>12.742086499999999</v>
      </c>
      <c r="L232" s="3">
        <f>278187046/10^8</f>
        <v>2.7818704599999999</v>
      </c>
      <c r="M232" s="3">
        <f>206912478/10^8</f>
        <v>2.0691247800000001</v>
      </c>
      <c r="N232" s="5"/>
    </row>
    <row r="233" spans="1:14" x14ac:dyDescent="0.3">
      <c r="A233" s="7">
        <v>44629.40625</v>
      </c>
      <c r="B233" s="7">
        <v>44629.416666666664</v>
      </c>
      <c r="C233" s="3">
        <f>18672801/10^5</f>
        <v>186.72801000000001</v>
      </c>
      <c r="D233" s="3">
        <f>9130555/10^5</f>
        <v>91.305549999999997</v>
      </c>
      <c r="E233" s="3"/>
      <c r="F233" s="3"/>
      <c r="G233" s="3">
        <f>9542246/10^5</f>
        <v>95.422460000000001</v>
      </c>
      <c r="H233" s="3">
        <f>3683933535/10^7</f>
        <v>368.39335349999999</v>
      </c>
      <c r="I233" s="3">
        <f>3681/10^1</f>
        <v>368.1</v>
      </c>
      <c r="J233" s="3">
        <f t="shared" si="13"/>
        <v>185.06</v>
      </c>
      <c r="K233" s="3">
        <f>1263139568/10^8</f>
        <v>12.631395680000001</v>
      </c>
      <c r="L233" s="3">
        <f>282847038/10^8</f>
        <v>2.8284703800000002</v>
      </c>
      <c r="M233" s="3">
        <f>229812699/10^8</f>
        <v>2.2981269900000001</v>
      </c>
      <c r="N233" s="5"/>
    </row>
    <row r="234" spans="1:14" x14ac:dyDescent="0.3">
      <c r="A234" s="7">
        <v>44629.416666666664</v>
      </c>
      <c r="B234" s="7">
        <v>44629.427083333336</v>
      </c>
      <c r="C234" s="3">
        <f>2405173/10^4</f>
        <v>240.51730000000001</v>
      </c>
      <c r="D234" s="3">
        <f>8463693/10^5</f>
        <v>84.636930000000007</v>
      </c>
      <c r="E234" s="3"/>
      <c r="F234" s="3"/>
      <c r="G234" s="3">
        <f>15588037/10^5</f>
        <v>155.88037</v>
      </c>
      <c r="H234" s="3">
        <f>370078481/10^6</f>
        <v>370.07848100000001</v>
      </c>
      <c r="I234" s="3">
        <f t="shared" ref="I234:I249" si="14">3698/10^1</f>
        <v>369.8</v>
      </c>
      <c r="J234" s="3">
        <f>1846/10^1</f>
        <v>184.6</v>
      </c>
      <c r="K234" s="3">
        <f>986965298/10^8</f>
        <v>9.8696529799999997</v>
      </c>
      <c r="L234" s="3">
        <f>179672701/10^8</f>
        <v>1.7967270099999999</v>
      </c>
      <c r="M234" s="3">
        <f>127212175/10^8</f>
        <v>1.2721217499999999</v>
      </c>
      <c r="N234" s="5"/>
    </row>
    <row r="235" spans="1:14" x14ac:dyDescent="0.3">
      <c r="A235" s="7">
        <v>44629.427083333336</v>
      </c>
      <c r="B235" s="7">
        <v>44629.4375</v>
      </c>
      <c r="C235" s="3">
        <f>22667118/10^5</f>
        <v>226.67117999999999</v>
      </c>
      <c r="D235" s="3">
        <f>9427032/10^5</f>
        <v>94.270319999999998</v>
      </c>
      <c r="E235" s="3"/>
      <c r="F235" s="3"/>
      <c r="G235" s="3">
        <f>13240086/10^5</f>
        <v>132.40085999999999</v>
      </c>
      <c r="H235" s="3">
        <f>36980157/10^5</f>
        <v>369.80157000000003</v>
      </c>
      <c r="I235" s="3">
        <f t="shared" si="14"/>
        <v>369.8</v>
      </c>
      <c r="J235" s="3">
        <f>18506/10^2</f>
        <v>185.06</v>
      </c>
      <c r="K235" s="3">
        <f>1009693428/10^8</f>
        <v>10.096934279999999</v>
      </c>
      <c r="L235" s="3">
        <f>179202519/10^8</f>
        <v>1.7920251899999999</v>
      </c>
      <c r="M235" s="3">
        <f>179347796/10^8</f>
        <v>1.7934779599999999</v>
      </c>
      <c r="N235" s="5"/>
    </row>
    <row r="236" spans="1:14" x14ac:dyDescent="0.3">
      <c r="A236" s="7">
        <v>44629.4375</v>
      </c>
      <c r="B236" s="7">
        <v>44629.447916666664</v>
      </c>
      <c r="C236" s="3">
        <f>1881361/10^4</f>
        <v>188.1361</v>
      </c>
      <c r="D236" s="3">
        <f>9421619/10^5</f>
        <v>94.216189999999997</v>
      </c>
      <c r="E236" s="3"/>
      <c r="F236" s="3"/>
      <c r="G236" s="3">
        <f>9391991/10^5</f>
        <v>93.919910000000002</v>
      </c>
      <c r="H236" s="3">
        <f>3698106332/10^7</f>
        <v>369.81063319999998</v>
      </c>
      <c r="I236" s="3">
        <f t="shared" si="14"/>
        <v>369.8</v>
      </c>
      <c r="J236" s="3">
        <f>18506/10^2</f>
        <v>185.06</v>
      </c>
      <c r="K236" s="3">
        <f>978229179/10^8</f>
        <v>9.7822917900000004</v>
      </c>
      <c r="L236" s="3">
        <f>190829442/10^8</f>
        <v>1.90829442</v>
      </c>
      <c r="M236" s="3">
        <f>12030651/10^7</f>
        <v>1.2030651000000001</v>
      </c>
      <c r="N236" s="5"/>
    </row>
    <row r="237" spans="1:14" x14ac:dyDescent="0.3">
      <c r="A237" s="7">
        <v>44629.447916666664</v>
      </c>
      <c r="B237" s="7">
        <v>44629.458333333336</v>
      </c>
      <c r="C237" s="3">
        <f>1664891/10^4</f>
        <v>166.48910000000001</v>
      </c>
      <c r="D237" s="3">
        <f>9443651/10^5</f>
        <v>94.436509999999998</v>
      </c>
      <c r="E237" s="3"/>
      <c r="F237" s="3"/>
      <c r="G237" s="3">
        <f>7205259/10^5</f>
        <v>72.052589999999995</v>
      </c>
      <c r="H237" s="3">
        <f>3698570664/10^7</f>
        <v>369.85706640000001</v>
      </c>
      <c r="I237" s="3">
        <f t="shared" si="14"/>
        <v>369.8</v>
      </c>
      <c r="J237" s="3">
        <f>18506/10^2</f>
        <v>185.06</v>
      </c>
      <c r="K237" s="3">
        <f>976954318/10^8</f>
        <v>9.7695431799999994</v>
      </c>
      <c r="L237" s="3">
        <f>185563516/10^8</f>
        <v>1.8556351600000001</v>
      </c>
      <c r="M237" s="3">
        <f>10153282/10^7</f>
        <v>1.0153281999999999</v>
      </c>
      <c r="N237" s="5"/>
    </row>
    <row r="238" spans="1:14" x14ac:dyDescent="0.3">
      <c r="A238" s="7">
        <v>44629.458333333336</v>
      </c>
      <c r="B238" s="7">
        <v>44629.46875</v>
      </c>
      <c r="C238" s="3">
        <f>22909321/10^5</f>
        <v>229.09321</v>
      </c>
      <c r="D238" s="3">
        <f>10785654/10^5</f>
        <v>107.85654</v>
      </c>
      <c r="E238" s="3"/>
      <c r="F238" s="3"/>
      <c r="G238" s="3">
        <f>12123667/10^5</f>
        <v>121.23667</v>
      </c>
      <c r="H238" s="3">
        <f>3700816794/10^7</f>
        <v>370.08167939999998</v>
      </c>
      <c r="I238" s="3">
        <f t="shared" si="14"/>
        <v>369.8</v>
      </c>
      <c r="J238" s="3">
        <f>18477/10^2</f>
        <v>184.77</v>
      </c>
      <c r="K238" s="3">
        <f>758259214/10^8</f>
        <v>7.58259214</v>
      </c>
      <c r="L238" s="3">
        <f>30670086/10^7</f>
        <v>3.0670085999999999</v>
      </c>
      <c r="M238" s="3">
        <f>137852717/10^8</f>
        <v>1.3785271699999999</v>
      </c>
      <c r="N238" s="5"/>
    </row>
    <row r="239" spans="1:14" x14ac:dyDescent="0.3">
      <c r="A239" s="7">
        <v>44629.46875</v>
      </c>
      <c r="B239" s="7">
        <v>44629.479166666664</v>
      </c>
      <c r="C239" s="3">
        <f>22976874/10^5</f>
        <v>229.76874000000001</v>
      </c>
      <c r="D239" s="3">
        <f>10646591/10^5</f>
        <v>106.46590999999999</v>
      </c>
      <c r="E239" s="3"/>
      <c r="F239" s="3"/>
      <c r="G239" s="3">
        <f>12330283/10^5</f>
        <v>123.30283</v>
      </c>
      <c r="H239" s="3">
        <f>3699197158/10^7</f>
        <v>369.91971580000001</v>
      </c>
      <c r="I239" s="3">
        <f t="shared" si="14"/>
        <v>369.8</v>
      </c>
      <c r="J239" s="3">
        <f>18506/10^2</f>
        <v>185.06</v>
      </c>
      <c r="K239" s="3">
        <f>75321986/10^7</f>
        <v>7.5321986000000001</v>
      </c>
      <c r="L239" s="3">
        <f>306828066/10^8</f>
        <v>3.0682806600000001</v>
      </c>
      <c r="M239" s="3">
        <f>93534435/10^8</f>
        <v>0.93534435000000005</v>
      </c>
      <c r="N239" s="5"/>
    </row>
    <row r="240" spans="1:14" x14ac:dyDescent="0.3">
      <c r="A240" s="7">
        <v>44629.479166666664</v>
      </c>
      <c r="B240" s="7">
        <v>44629.489583333336</v>
      </c>
      <c r="C240" s="3">
        <f>232349/10^3</f>
        <v>232.34899999999999</v>
      </c>
      <c r="D240" s="3">
        <f>10342708/10^5</f>
        <v>103.42708</v>
      </c>
      <c r="E240" s="3"/>
      <c r="F240" s="3"/>
      <c r="G240" s="3">
        <f>12892192/10^5</f>
        <v>128.92192</v>
      </c>
      <c r="H240" s="3">
        <f>3703240395/10^7</f>
        <v>370.32403950000003</v>
      </c>
      <c r="I240" s="3">
        <f t="shared" si="14"/>
        <v>369.8</v>
      </c>
      <c r="J240" s="3">
        <f>18506/10^2</f>
        <v>185.06</v>
      </c>
      <c r="K240" s="3">
        <f>713932315/10^8</f>
        <v>7.1393231500000001</v>
      </c>
      <c r="L240" s="3">
        <f>295876552/10^8</f>
        <v>2.95876552</v>
      </c>
      <c r="M240" s="3">
        <f>95217997/10^8</f>
        <v>0.95217996999999999</v>
      </c>
      <c r="N240" s="5"/>
    </row>
    <row r="241" spans="1:14" x14ac:dyDescent="0.3">
      <c r="A241" s="7">
        <v>44629.489583333336</v>
      </c>
      <c r="B241" s="7">
        <v>44629.5</v>
      </c>
      <c r="C241" s="3">
        <f>22321738/10^5</f>
        <v>223.21737999999999</v>
      </c>
      <c r="D241" s="3">
        <f>112171/10^3</f>
        <v>112.17100000000001</v>
      </c>
      <c r="E241" s="3"/>
      <c r="F241" s="3"/>
      <c r="G241" s="3">
        <f>11104638/10^5</f>
        <v>111.04638</v>
      </c>
      <c r="H241" s="3">
        <f>3698363845/10^7</f>
        <v>369.83638450000001</v>
      </c>
      <c r="I241" s="3">
        <f t="shared" si="14"/>
        <v>369.8</v>
      </c>
      <c r="J241" s="3">
        <f>1846/10^1</f>
        <v>184.6</v>
      </c>
      <c r="K241" s="3">
        <f>714406362/10^8</f>
        <v>7.1440636199999998</v>
      </c>
      <c r="L241" s="3">
        <f>297892386/10^8</f>
        <v>2.9789238600000001</v>
      </c>
      <c r="M241" s="3">
        <f>98843666/10^8</f>
        <v>0.98843665999999997</v>
      </c>
      <c r="N241" s="5"/>
    </row>
    <row r="242" spans="1:14" x14ac:dyDescent="0.3">
      <c r="A242" s="7">
        <v>44629.5</v>
      </c>
      <c r="B242" s="7">
        <v>44629.510416666664</v>
      </c>
      <c r="C242" s="3">
        <f>22608626/10^5</f>
        <v>226.08626000000001</v>
      </c>
      <c r="D242" s="3">
        <f>5638943/10^5</f>
        <v>56.389429999999997</v>
      </c>
      <c r="E242" s="3"/>
      <c r="F242" s="3"/>
      <c r="G242" s="3">
        <f>16969683/10^5</f>
        <v>169.69683000000001</v>
      </c>
      <c r="H242" s="3">
        <f>3708526565/10^7</f>
        <v>370.85265650000002</v>
      </c>
      <c r="I242" s="3">
        <f t="shared" si="14"/>
        <v>369.8</v>
      </c>
      <c r="J242" s="3">
        <f>18506/10^2</f>
        <v>185.06</v>
      </c>
      <c r="K242" s="3">
        <f>680055527/10^8</f>
        <v>6.8005552700000003</v>
      </c>
      <c r="L242" s="3">
        <f>298727704/10^8</f>
        <v>2.9872770399999999</v>
      </c>
      <c r="M242" s="3">
        <f>-347720746/10^8</f>
        <v>-3.4772074599999998</v>
      </c>
      <c r="N242" s="5"/>
    </row>
    <row r="243" spans="1:14" x14ac:dyDescent="0.3">
      <c r="A243" s="7">
        <v>44629.510416666664</v>
      </c>
      <c r="B243" s="7">
        <v>44629.520833333336</v>
      </c>
      <c r="C243" s="3">
        <f>23961645/10^5</f>
        <v>239.61644999999999</v>
      </c>
      <c r="D243" s="3">
        <f>7088283/10^5</f>
        <v>70.882829999999998</v>
      </c>
      <c r="E243" s="3"/>
      <c r="F243" s="3"/>
      <c r="G243" s="3">
        <f>16873362/10^5</f>
        <v>168.73362</v>
      </c>
      <c r="H243" s="3">
        <f>3701211705/10^7</f>
        <v>370.12117050000001</v>
      </c>
      <c r="I243" s="3">
        <f t="shared" si="14"/>
        <v>369.8</v>
      </c>
      <c r="J243" s="3">
        <f>1846/10^1</f>
        <v>184.6</v>
      </c>
      <c r="K243" s="3">
        <f>711916048/10^8</f>
        <v>7.1191604799999997</v>
      </c>
      <c r="L243" s="3">
        <f>298264508/10^8</f>
        <v>2.9826450800000002</v>
      </c>
      <c r="M243" s="3">
        <f>-270265524/10^8</f>
        <v>-2.7026552399999999</v>
      </c>
      <c r="N243" s="5"/>
    </row>
    <row r="244" spans="1:14" x14ac:dyDescent="0.3">
      <c r="A244" s="7">
        <v>44629.520833333336</v>
      </c>
      <c r="B244" s="7">
        <v>44629.53125</v>
      </c>
      <c r="C244" s="3">
        <f>23789682/10^5</f>
        <v>237.89681999999999</v>
      </c>
      <c r="D244" s="3">
        <f>8167818/10^5</f>
        <v>81.678179999999998</v>
      </c>
      <c r="E244" s="3"/>
      <c r="F244" s="3"/>
      <c r="G244" s="3">
        <f>15621864/10^5</f>
        <v>156.21863999999999</v>
      </c>
      <c r="H244" s="3">
        <f>3699688616/10^7</f>
        <v>369.96886160000003</v>
      </c>
      <c r="I244" s="3">
        <f t="shared" si="14"/>
        <v>369.8</v>
      </c>
      <c r="J244" s="3">
        <f>18506/10^2</f>
        <v>185.06</v>
      </c>
      <c r="K244" s="3">
        <f>639910699/10^8</f>
        <v>6.3991069899999999</v>
      </c>
      <c r="L244" s="3">
        <f>297679249/10^8</f>
        <v>2.9767924899999998</v>
      </c>
      <c r="M244" s="3">
        <f>-135268705/10^8</f>
        <v>-1.3526870499999999</v>
      </c>
      <c r="N244" s="5"/>
    </row>
    <row r="245" spans="1:14" x14ac:dyDescent="0.3">
      <c r="A245" s="7">
        <v>44629.53125</v>
      </c>
      <c r="B245" s="7">
        <v>44629.541666666664</v>
      </c>
      <c r="C245" s="3">
        <f>22654655/10^5</f>
        <v>226.54655</v>
      </c>
      <c r="D245" s="3">
        <f>8447488/10^5</f>
        <v>84.474879999999999</v>
      </c>
      <c r="E245" s="3"/>
      <c r="F245" s="3"/>
      <c r="G245" s="3">
        <f>14207167/10^5</f>
        <v>142.07167000000001</v>
      </c>
      <c r="H245" s="3">
        <f>3698285223/10^7</f>
        <v>369.82852229999997</v>
      </c>
      <c r="I245" s="3">
        <f t="shared" si="14"/>
        <v>369.8</v>
      </c>
      <c r="J245" s="3">
        <f>18506/10^2</f>
        <v>185.06</v>
      </c>
      <c r="K245" s="3">
        <f>62668895/10^7</f>
        <v>6.2668894999999996</v>
      </c>
      <c r="L245" s="3">
        <f>297874734/10^8</f>
        <v>2.97874734</v>
      </c>
      <c r="M245" s="3">
        <f>-99153332/10^8</f>
        <v>-0.99153332000000005</v>
      </c>
      <c r="N245" s="5"/>
    </row>
    <row r="246" spans="1:14" x14ac:dyDescent="0.3">
      <c r="A246" s="7">
        <v>44629.541666666664</v>
      </c>
      <c r="B246" s="7">
        <v>44629.552083333336</v>
      </c>
      <c r="C246" s="3">
        <f>22859105/10^5</f>
        <v>228.59105</v>
      </c>
      <c r="D246" s="3">
        <f>611095/10^4</f>
        <v>61.109499999999997</v>
      </c>
      <c r="E246" s="3"/>
      <c r="F246" s="3"/>
      <c r="G246" s="3">
        <f>16748155/10^5</f>
        <v>167.48155</v>
      </c>
      <c r="H246" s="3">
        <f>3698285711/10^7</f>
        <v>369.82857109999998</v>
      </c>
      <c r="I246" s="3">
        <f t="shared" si="14"/>
        <v>369.8</v>
      </c>
      <c r="J246" s="3">
        <f>18506/10^2</f>
        <v>185.06</v>
      </c>
      <c r="K246" s="3">
        <f>672708663/10^8</f>
        <v>6.7270866299999996</v>
      </c>
      <c r="L246" s="3">
        <f>254529346/10^8</f>
        <v>2.5452934599999999</v>
      </c>
      <c r="M246" s="3">
        <f>-347440733/10^8</f>
        <v>-3.47440733</v>
      </c>
      <c r="N246" s="5"/>
    </row>
    <row r="247" spans="1:14" x14ac:dyDescent="0.3">
      <c r="A247" s="7">
        <v>44629.552083333336</v>
      </c>
      <c r="B247" s="7">
        <v>44629.5625</v>
      </c>
      <c r="C247" s="3">
        <f>21397999/10^5</f>
        <v>213.97998999999999</v>
      </c>
      <c r="D247" s="3">
        <f>6523546/10^5</f>
        <v>65.235460000000003</v>
      </c>
      <c r="E247" s="3"/>
      <c r="F247" s="3"/>
      <c r="G247" s="3">
        <f>14874453/10^5</f>
        <v>148.74453</v>
      </c>
      <c r="H247" s="3">
        <f>3698075871/10^7</f>
        <v>369.80758709999998</v>
      </c>
      <c r="I247" s="3">
        <f t="shared" si="14"/>
        <v>369.8</v>
      </c>
      <c r="J247" s="3">
        <f>18506/10^2</f>
        <v>185.06</v>
      </c>
      <c r="K247" s="3">
        <f>680078282/10^8</f>
        <v>6.8007828200000002</v>
      </c>
      <c r="L247" s="3">
        <f>256646141/10^8</f>
        <v>2.5664614100000001</v>
      </c>
      <c r="M247" s="3">
        <f>-297983479/10^8</f>
        <v>-2.97983479</v>
      </c>
      <c r="N247" s="5"/>
    </row>
    <row r="248" spans="1:14" x14ac:dyDescent="0.3">
      <c r="A248" s="7">
        <v>44629.5625</v>
      </c>
      <c r="B248" s="7">
        <v>44629.572916666664</v>
      </c>
      <c r="C248" s="3">
        <f>21070167/10^5</f>
        <v>210.70167000000001</v>
      </c>
      <c r="D248" s="3">
        <f>748935/10^4</f>
        <v>74.893500000000003</v>
      </c>
      <c r="E248" s="3"/>
      <c r="F248" s="3"/>
      <c r="G248" s="3">
        <f>13580817/10^5</f>
        <v>135.80816999999999</v>
      </c>
      <c r="H248" s="3">
        <f>3698195801/10^7</f>
        <v>369.8195801</v>
      </c>
      <c r="I248" s="3">
        <f t="shared" si="14"/>
        <v>369.8</v>
      </c>
      <c r="J248" s="3">
        <f>18506/10^2</f>
        <v>185.06</v>
      </c>
      <c r="K248" s="3">
        <f>616735089/10^8</f>
        <v>6.1673508899999998</v>
      </c>
      <c r="L248" s="3">
        <f>239655419/10^8</f>
        <v>2.3965541899999998</v>
      </c>
      <c r="M248" s="3">
        <f>-239156436/10^8</f>
        <v>-2.3915643599999998</v>
      </c>
      <c r="N248" s="5"/>
    </row>
    <row r="249" spans="1:14" x14ac:dyDescent="0.3">
      <c r="A249" s="7">
        <v>44629.572916666664</v>
      </c>
      <c r="B249" s="7">
        <v>44629.583333333336</v>
      </c>
      <c r="C249" s="3">
        <f>18803046/10^5</f>
        <v>188.03046000000001</v>
      </c>
      <c r="D249" s="3">
        <f>7356498/10^5</f>
        <v>73.564980000000006</v>
      </c>
      <c r="E249" s="3"/>
      <c r="F249" s="3"/>
      <c r="G249" s="3">
        <f>11446548/10^5</f>
        <v>114.46548</v>
      </c>
      <c r="H249" s="3">
        <f>3702337846/10^7</f>
        <v>370.23378459999998</v>
      </c>
      <c r="I249" s="3">
        <f t="shared" si="14"/>
        <v>369.8</v>
      </c>
      <c r="J249" s="3">
        <f>1846/10^1</f>
        <v>184.6</v>
      </c>
      <c r="K249" s="3">
        <f>540591684/10^8</f>
        <v>5.4059168399999997</v>
      </c>
      <c r="L249" s="3">
        <f>241876109/10^8</f>
        <v>2.4187610899999998</v>
      </c>
      <c r="M249" s="3">
        <f>-290774196/10^8</f>
        <v>-2.9077419600000001</v>
      </c>
      <c r="N249" s="5"/>
    </row>
    <row r="250" spans="1:14" x14ac:dyDescent="0.3">
      <c r="A250" s="7">
        <v>44629.583333333336</v>
      </c>
      <c r="B250" s="7">
        <v>44629.59375</v>
      </c>
      <c r="C250" s="3">
        <f>23529068/10^5</f>
        <v>235.29068000000001</v>
      </c>
      <c r="D250" s="3">
        <f>11757878/10^5</f>
        <v>117.57877999999999</v>
      </c>
      <c r="E250" s="3"/>
      <c r="F250" s="3"/>
      <c r="G250" s="3">
        <f>1177119/10^4</f>
        <v>117.7119</v>
      </c>
      <c r="H250" s="3">
        <f>3679873882/10^7</f>
        <v>367.9873882</v>
      </c>
      <c r="I250" s="3">
        <f>3675/10^1</f>
        <v>367.5</v>
      </c>
      <c r="J250" s="3">
        <f>18506/10^2</f>
        <v>185.06</v>
      </c>
      <c r="K250" s="3">
        <f>782039985/10^8</f>
        <v>7.8203998500000003</v>
      </c>
      <c r="L250" s="3">
        <f>307549214/10^8</f>
        <v>3.0754921400000002</v>
      </c>
      <c r="M250" s="3">
        <f>15475494/10^7</f>
        <v>1.5475494000000001</v>
      </c>
      <c r="N250" s="5"/>
    </row>
    <row r="251" spans="1:14" x14ac:dyDescent="0.3">
      <c r="A251" s="7">
        <v>44629.59375</v>
      </c>
      <c r="B251" s="7">
        <v>44629.604166666664</v>
      </c>
      <c r="C251" s="3">
        <f>24264131/10^5</f>
        <v>242.64131</v>
      </c>
      <c r="D251" s="3">
        <f>9016279/10^5</f>
        <v>90.162790000000001</v>
      </c>
      <c r="E251" s="3"/>
      <c r="F251" s="3"/>
      <c r="G251" s="3">
        <f>15247852/10^5</f>
        <v>152.47852</v>
      </c>
      <c r="H251" s="3">
        <f>3698055409/10^7</f>
        <v>369.80554089999998</v>
      </c>
      <c r="I251" s="3">
        <f t="shared" ref="I251:I257" si="15">3698/10^1</f>
        <v>369.8</v>
      </c>
      <c r="J251" s="3">
        <f>1846/10^1</f>
        <v>184.6</v>
      </c>
      <c r="K251" s="3">
        <f>770040788/10^8</f>
        <v>7.7004078800000002</v>
      </c>
      <c r="L251" s="3">
        <f>310305109/10^8</f>
        <v>3.1030510900000001</v>
      </c>
      <c r="M251" s="3">
        <f>-34541063/10^8</f>
        <v>-0.34541063</v>
      </c>
      <c r="N251" s="5"/>
    </row>
    <row r="252" spans="1:14" x14ac:dyDescent="0.3">
      <c r="A252" s="7">
        <v>44629.604166666664</v>
      </c>
      <c r="B252" s="7">
        <v>44629.614583333336</v>
      </c>
      <c r="C252" s="3">
        <f>27073768/10^5</f>
        <v>270.73768000000001</v>
      </c>
      <c r="D252" s="3">
        <f>10005195/10^5</f>
        <v>100.05195000000001</v>
      </c>
      <c r="E252" s="3"/>
      <c r="F252" s="3"/>
      <c r="G252" s="3">
        <f>17068573/10^5</f>
        <v>170.68573000000001</v>
      </c>
      <c r="H252" s="3">
        <f>3699150044/10^7</f>
        <v>369.91500439999999</v>
      </c>
      <c r="I252" s="3">
        <f t="shared" si="15"/>
        <v>369.8</v>
      </c>
      <c r="J252" s="3">
        <f>1846/10^1</f>
        <v>184.6</v>
      </c>
      <c r="K252" s="3">
        <f>747424247/10^8</f>
        <v>7.4742424700000001</v>
      </c>
      <c r="L252" s="3">
        <f>318403201/10^8</f>
        <v>3.1840320100000001</v>
      </c>
      <c r="M252" s="3">
        <f>75586832/10^8</f>
        <v>0.75586832000000004</v>
      </c>
      <c r="N252" s="5"/>
    </row>
    <row r="253" spans="1:14" x14ac:dyDescent="0.3">
      <c r="A253" s="7">
        <v>44629.614583333336</v>
      </c>
      <c r="B253" s="7">
        <v>44629.625</v>
      </c>
      <c r="C253" s="3">
        <f>27394759/10^5</f>
        <v>273.94758999999999</v>
      </c>
      <c r="D253" s="3">
        <f>9996307/10^5</f>
        <v>99.963070000000002</v>
      </c>
      <c r="E253" s="3"/>
      <c r="F253" s="3"/>
      <c r="G253" s="3">
        <f>17398452/10^5</f>
        <v>173.98452</v>
      </c>
      <c r="H253" s="3">
        <f>36990123/10^5</f>
        <v>369.90123</v>
      </c>
      <c r="I253" s="3">
        <f t="shared" si="15"/>
        <v>369.8</v>
      </c>
      <c r="J253" s="3">
        <f>18506/10^2</f>
        <v>185.06</v>
      </c>
      <c r="K253" s="3">
        <f>729241366/10^8</f>
        <v>7.2924136600000002</v>
      </c>
      <c r="L253" s="3">
        <f>320188805/10^8</f>
        <v>3.20188805</v>
      </c>
      <c r="M253" s="3">
        <f>71282315/10^8</f>
        <v>0.71282314999999996</v>
      </c>
      <c r="N253" s="5"/>
    </row>
    <row r="254" spans="1:14" x14ac:dyDescent="0.3">
      <c r="A254" s="7">
        <v>44629.625</v>
      </c>
      <c r="B254" s="7">
        <v>44629.635416666664</v>
      </c>
      <c r="C254" s="3">
        <f>24655172/10^5</f>
        <v>246.55171999999999</v>
      </c>
      <c r="D254" s="3">
        <f>12773646/10^5</f>
        <v>127.73645999999999</v>
      </c>
      <c r="E254" s="3"/>
      <c r="F254" s="3"/>
      <c r="G254" s="3">
        <f>11881526/10^5</f>
        <v>118.81525999999999</v>
      </c>
      <c r="H254" s="3">
        <f>3697999999/10^7</f>
        <v>369.79999989999999</v>
      </c>
      <c r="I254" s="3">
        <f t="shared" si="15"/>
        <v>369.8</v>
      </c>
      <c r="J254" s="3">
        <f>1846/10^1</f>
        <v>184.6</v>
      </c>
      <c r="K254" s="3">
        <f>917279302/10^8</f>
        <v>9.1727930200000003</v>
      </c>
      <c r="L254" s="3">
        <f>396201359/10^8</f>
        <v>3.9620135900000002</v>
      </c>
      <c r="M254" s="3">
        <f>337082016/10^8</f>
        <v>3.3708201600000001</v>
      </c>
      <c r="N254" s="5"/>
    </row>
    <row r="255" spans="1:14" x14ac:dyDescent="0.3">
      <c r="A255" s="7">
        <v>44629.635416666664</v>
      </c>
      <c r="B255" s="7">
        <v>44629.645833333336</v>
      </c>
      <c r="C255" s="3">
        <f>23973213/10^5</f>
        <v>239.73213000000001</v>
      </c>
      <c r="D255" s="3">
        <f>9821061/10^5</f>
        <v>98.210610000000003</v>
      </c>
      <c r="E255" s="3"/>
      <c r="F255" s="3"/>
      <c r="G255" s="3">
        <f>14152152/10^5</f>
        <v>141.52152000000001</v>
      </c>
      <c r="H255" s="3">
        <f>3698003905/10^7</f>
        <v>369.80039049999999</v>
      </c>
      <c r="I255" s="3">
        <f t="shared" si="15"/>
        <v>369.8</v>
      </c>
      <c r="J255" s="3">
        <f>18506/10^2</f>
        <v>185.06</v>
      </c>
      <c r="K255" s="3">
        <f>90981553/10^7</f>
        <v>9.0981553000000002</v>
      </c>
      <c r="L255" s="3">
        <f>39670974/10^7</f>
        <v>3.9670974000000001</v>
      </c>
      <c r="M255" s="3">
        <f>69849597/10^8</f>
        <v>0.69849596999999997</v>
      </c>
      <c r="N255" s="5"/>
    </row>
    <row r="256" spans="1:14" x14ac:dyDescent="0.3">
      <c r="A256" s="7">
        <v>44629.645833333336</v>
      </c>
      <c r="B256" s="7">
        <v>44629.65625</v>
      </c>
      <c r="C256" s="3">
        <f>25163801/10^5</f>
        <v>251.63801000000001</v>
      </c>
      <c r="D256" s="3">
        <f>12453081/10^5</f>
        <v>124.53081</v>
      </c>
      <c r="E256" s="3"/>
      <c r="F256" s="3"/>
      <c r="G256" s="3">
        <f>1271072/10^4</f>
        <v>127.10720000000001</v>
      </c>
      <c r="H256" s="3">
        <f>3697999999/10^7</f>
        <v>369.79999989999999</v>
      </c>
      <c r="I256" s="3">
        <f t="shared" si="15"/>
        <v>369.8</v>
      </c>
      <c r="J256" s="3">
        <f>1846/10^1</f>
        <v>184.6</v>
      </c>
      <c r="K256" s="3">
        <f>96380486/10^7</f>
        <v>9.6380485999999994</v>
      </c>
      <c r="L256" s="3">
        <f>386701588/10^8</f>
        <v>3.8670158799999999</v>
      </c>
      <c r="M256" s="3">
        <f>394172062/10^8</f>
        <v>3.9417206199999999</v>
      </c>
      <c r="N256" s="5"/>
    </row>
    <row r="257" spans="1:14" x14ac:dyDescent="0.3">
      <c r="A257" s="7">
        <v>44629.65625</v>
      </c>
      <c r="B257" s="7">
        <v>44629.666666666664</v>
      </c>
      <c r="C257" s="3">
        <f>24284645/10^5</f>
        <v>242.84645</v>
      </c>
      <c r="D257" s="3">
        <f>11450241/10^5</f>
        <v>114.50241</v>
      </c>
      <c r="E257" s="3"/>
      <c r="F257" s="3"/>
      <c r="G257" s="3">
        <f>12834404/10^5</f>
        <v>128.34404000000001</v>
      </c>
      <c r="H257" s="3">
        <f>3698350496/10^7</f>
        <v>369.83504959999999</v>
      </c>
      <c r="I257" s="3">
        <f t="shared" si="15"/>
        <v>369.8</v>
      </c>
      <c r="J257" s="3">
        <f>18506/10^2</f>
        <v>185.06</v>
      </c>
      <c r="K257" s="3">
        <f>963054614/10^8</f>
        <v>9.6305461399999999</v>
      </c>
      <c r="L257" s="3">
        <f>386036031/10^8</f>
        <v>3.8603603099999999</v>
      </c>
      <c r="M257" s="3">
        <f>270357678/10^8</f>
        <v>2.7035767800000001</v>
      </c>
      <c r="N257" s="5"/>
    </row>
    <row r="258" spans="1:14" x14ac:dyDescent="0.3">
      <c r="A258" s="7">
        <v>44629.666666666664</v>
      </c>
      <c r="B258" s="7">
        <v>44629.677083333336</v>
      </c>
      <c r="C258" s="3">
        <f>19351456/10^5</f>
        <v>193.51455999999999</v>
      </c>
      <c r="D258" s="3">
        <f>1376511/10^4</f>
        <v>137.65110000000001</v>
      </c>
      <c r="E258" s="3"/>
      <c r="F258" s="3"/>
      <c r="G258" s="3">
        <f>5586346/10^5</f>
        <v>55.863460000000003</v>
      </c>
      <c r="H258" s="3">
        <f>4121285199/10^7</f>
        <v>412.12851990000001</v>
      </c>
      <c r="I258" s="3">
        <f>41211/10^2</f>
        <v>412.11</v>
      </c>
      <c r="J258" s="3">
        <f>15892/10^2</f>
        <v>158.91999999999999</v>
      </c>
      <c r="K258" s="3">
        <f>1172063186/10^8</f>
        <v>11.720631859999999</v>
      </c>
      <c r="L258" s="3">
        <f>48347162/10^7</f>
        <v>4.8347161999999999</v>
      </c>
      <c r="M258" s="3">
        <f>98920176/10^7</f>
        <v>9.8920176000000009</v>
      </c>
      <c r="N258" s="5"/>
    </row>
    <row r="259" spans="1:14" x14ac:dyDescent="0.3">
      <c r="A259" s="7">
        <v>44629.677083333336</v>
      </c>
      <c r="B259" s="7">
        <v>44629.6875</v>
      </c>
      <c r="C259" s="3">
        <f>18442044/10^5</f>
        <v>184.42044000000001</v>
      </c>
      <c r="D259" s="3">
        <f>12155664/10^5</f>
        <v>121.55664</v>
      </c>
      <c r="E259" s="3"/>
      <c r="F259" s="3"/>
      <c r="G259" s="3">
        <f>628638/10^4</f>
        <v>62.863799999999998</v>
      </c>
      <c r="H259" s="3">
        <f>4123257257/10^7</f>
        <v>412.32572570000002</v>
      </c>
      <c r="I259" s="3">
        <f>41211/10^2</f>
        <v>412.11</v>
      </c>
      <c r="J259" s="3">
        <f>18506/10^2</f>
        <v>185.06</v>
      </c>
      <c r="K259" s="3">
        <f>1192603634/10^8</f>
        <v>11.92603634</v>
      </c>
      <c r="L259" s="3">
        <f>486930312/10^8</f>
        <v>4.8693031199999997</v>
      </c>
      <c r="M259" s="3">
        <f>679069384/10^8</f>
        <v>6.7906938400000003</v>
      </c>
      <c r="N259" s="5"/>
    </row>
    <row r="260" spans="1:14" x14ac:dyDescent="0.3">
      <c r="A260" s="7">
        <v>44629.6875</v>
      </c>
      <c r="B260" s="7">
        <v>44629.697916666664</v>
      </c>
      <c r="C260" s="3">
        <f>16429913/10^5</f>
        <v>164.29912999999999</v>
      </c>
      <c r="D260" s="3">
        <f>11732579/10^5</f>
        <v>117.32579</v>
      </c>
      <c r="E260" s="3"/>
      <c r="F260" s="3"/>
      <c r="G260" s="3">
        <f>4697334/10^5</f>
        <v>46.97334</v>
      </c>
      <c r="H260" s="3">
        <f>4122253978/10^7</f>
        <v>412.2253978</v>
      </c>
      <c r="I260" s="3">
        <f>41211/10^2</f>
        <v>412.11</v>
      </c>
      <c r="J260" s="3">
        <f>1846/10^1</f>
        <v>184.6</v>
      </c>
      <c r="K260" s="3">
        <f>1241666777/10^8</f>
        <v>12.41666777</v>
      </c>
      <c r="L260" s="3">
        <f>502398284/10^8</f>
        <v>5.0239828400000004</v>
      </c>
      <c r="M260" s="3">
        <f>530849896/10^8</f>
        <v>5.3084989599999997</v>
      </c>
      <c r="N260" s="5"/>
    </row>
    <row r="261" spans="1:14" x14ac:dyDescent="0.3">
      <c r="A261" s="7">
        <v>44629.697916666664</v>
      </c>
      <c r="B261" s="7">
        <v>44629.708333333336</v>
      </c>
      <c r="C261" s="3">
        <f>1840197/10^4</f>
        <v>184.0197</v>
      </c>
      <c r="D261" s="3">
        <f>1111968/10^4</f>
        <v>111.1968</v>
      </c>
      <c r="E261" s="3"/>
      <c r="F261" s="3"/>
      <c r="G261" s="3">
        <f>728229/10^4</f>
        <v>72.822900000000004</v>
      </c>
      <c r="H261" s="3">
        <f>4121694695/10^7</f>
        <v>412.16946949999999</v>
      </c>
      <c r="I261" s="3">
        <f>41211/10^2</f>
        <v>412.11</v>
      </c>
      <c r="J261" s="3">
        <f>1846/10^1</f>
        <v>184.6</v>
      </c>
      <c r="K261" s="3">
        <f>1176530619/10^8</f>
        <v>11.76530619</v>
      </c>
      <c r="L261" s="3">
        <f>501903567/10^8</f>
        <v>5.0190356700000001</v>
      </c>
      <c r="M261" s="3">
        <f>235779616/10^8</f>
        <v>2.3577961599999999</v>
      </c>
      <c r="N261" s="5"/>
    </row>
    <row r="262" spans="1:14" x14ac:dyDescent="0.3">
      <c r="A262" s="7">
        <v>44629.708333333336</v>
      </c>
      <c r="B262" s="7">
        <v>44629.71875</v>
      </c>
      <c r="C262" s="3">
        <f>12221258/10^5</f>
        <v>122.21258</v>
      </c>
      <c r="D262" s="3">
        <f>18958453/10^5</f>
        <v>189.58453</v>
      </c>
      <c r="E262" s="3"/>
      <c r="F262" s="3"/>
      <c r="G262" s="3">
        <f>-6737195/10^5</f>
        <v>-67.371949999999998</v>
      </c>
      <c r="H262" s="3">
        <f>0/10^0</f>
        <v>0</v>
      </c>
      <c r="I262" s="3">
        <f>4479/10^1</f>
        <v>447.9</v>
      </c>
      <c r="J262" s="3">
        <f>0/10^0</f>
        <v>0</v>
      </c>
      <c r="K262" s="3">
        <f>1366992304/10^8</f>
        <v>13.66992304</v>
      </c>
      <c r="L262" s="3">
        <f>317435197/10^8</f>
        <v>3.17435197</v>
      </c>
      <c r="M262" s="3">
        <f>3047367801/10^8</f>
        <v>30.47367801</v>
      </c>
      <c r="N262" s="5"/>
    </row>
    <row r="263" spans="1:14" x14ac:dyDescent="0.3">
      <c r="A263" s="7">
        <v>44629.71875</v>
      </c>
      <c r="B263" s="7">
        <v>44629.729166666664</v>
      </c>
      <c r="C263" s="3">
        <f>14623473/10^5</f>
        <v>146.23473000000001</v>
      </c>
      <c r="D263" s="3">
        <f>15384085/10^5</f>
        <v>153.84084999999999</v>
      </c>
      <c r="E263" s="3"/>
      <c r="F263" s="3"/>
      <c r="G263" s="3">
        <f>-760612/10^5</f>
        <v>-7.6061199999999998</v>
      </c>
      <c r="H263" s="3">
        <f>1843588332/10^7</f>
        <v>184.35883319999999</v>
      </c>
      <c r="I263" s="3">
        <f>4479/10^1</f>
        <v>447.9</v>
      </c>
      <c r="J263" s="3">
        <f t="shared" ref="J263:J269" si="16">18506/10^2</f>
        <v>185.06</v>
      </c>
      <c r="K263" s="3">
        <f>1348118206/10^8</f>
        <v>13.48118206</v>
      </c>
      <c r="L263" s="3">
        <f>319978146/10^8</f>
        <v>3.1997814600000001</v>
      </c>
      <c r="M263" s="3">
        <f>16380121/10^6</f>
        <v>16.380120999999999</v>
      </c>
      <c r="N263" s="5"/>
    </row>
    <row r="264" spans="1:14" x14ac:dyDescent="0.3">
      <c r="A264" s="7">
        <v>44629.729166666664</v>
      </c>
      <c r="B264" s="7">
        <v>44629.739583333336</v>
      </c>
      <c r="C264" s="3">
        <f>15841238/10^5</f>
        <v>158.41238000000001</v>
      </c>
      <c r="D264" s="3">
        <f>14493244/10^5</f>
        <v>144.93244000000001</v>
      </c>
      <c r="E264" s="3"/>
      <c r="F264" s="3"/>
      <c r="G264" s="3">
        <f>1347994/10^5</f>
        <v>13.479939999999999</v>
      </c>
      <c r="H264" s="3">
        <f>4478999999/10^7</f>
        <v>447.89999990000001</v>
      </c>
      <c r="I264" s="3">
        <f>4479/10^1</f>
        <v>447.9</v>
      </c>
      <c r="J264" s="3">
        <f t="shared" si="16"/>
        <v>185.06</v>
      </c>
      <c r="K264" s="3">
        <f>1352679967/10^8</f>
        <v>13.526799670000001</v>
      </c>
      <c r="L264" s="3">
        <f>332345655/10^8</f>
        <v>3.32345655</v>
      </c>
      <c r="M264" s="3">
        <f>1067629426/10^8</f>
        <v>10.676294260000001</v>
      </c>
      <c r="N264" s="5"/>
    </row>
    <row r="265" spans="1:14" x14ac:dyDescent="0.3">
      <c r="A265" s="7">
        <v>44629.739583333336</v>
      </c>
      <c r="B265" s="7">
        <v>44629.75</v>
      </c>
      <c r="C265" s="3">
        <f>21572363/10^5</f>
        <v>215.72363000000001</v>
      </c>
      <c r="D265" s="3">
        <f>13776861/10^5</f>
        <v>137.76861</v>
      </c>
      <c r="E265" s="3"/>
      <c r="F265" s="3"/>
      <c r="G265" s="3">
        <f>7795502/10^5</f>
        <v>77.955020000000005</v>
      </c>
      <c r="H265" s="3">
        <f>4483585339/10^7</f>
        <v>448.3585339</v>
      </c>
      <c r="I265" s="3">
        <f>4479/10^1</f>
        <v>447.9</v>
      </c>
      <c r="J265" s="3">
        <f t="shared" si="16"/>
        <v>185.06</v>
      </c>
      <c r="K265" s="3">
        <f>1363570114/10^8</f>
        <v>13.63570114</v>
      </c>
      <c r="L265" s="3">
        <f>327763595/10^8</f>
        <v>3.2776359500000001</v>
      </c>
      <c r="M265" s="3">
        <f>82559138/10^8</f>
        <v>0.82559137999999999</v>
      </c>
      <c r="N265" s="5"/>
    </row>
    <row r="266" spans="1:14" x14ac:dyDescent="0.3">
      <c r="A266" s="7">
        <v>44629.75</v>
      </c>
      <c r="B266" s="7">
        <v>44629.760416666664</v>
      </c>
      <c r="C266" s="3">
        <f>16038341/10^5</f>
        <v>160.38341</v>
      </c>
      <c r="D266" s="3">
        <f>13773835/10^5</f>
        <v>137.73835</v>
      </c>
      <c r="E266" s="3"/>
      <c r="F266" s="3"/>
      <c r="G266" s="3">
        <f>2264506/10^5</f>
        <v>22.645060000000001</v>
      </c>
      <c r="H266" s="3">
        <f>5432999999/10^7</f>
        <v>543.29999989999999</v>
      </c>
      <c r="I266" s="3">
        <f>5433/10^1</f>
        <v>543.29999999999995</v>
      </c>
      <c r="J266" s="3">
        <f t="shared" si="16"/>
        <v>185.06</v>
      </c>
      <c r="K266" s="3">
        <f>1689729265/10^8</f>
        <v>16.897292650000001</v>
      </c>
      <c r="L266" s="3">
        <f>296195235/10^8</f>
        <v>2.9619523499999998</v>
      </c>
      <c r="M266" s="3">
        <f>442541397/10^8</f>
        <v>4.4254139700000001</v>
      </c>
      <c r="N266" s="5"/>
    </row>
    <row r="267" spans="1:14" x14ac:dyDescent="0.3">
      <c r="A267" s="7">
        <v>44629.760416666664</v>
      </c>
      <c r="B267" s="7">
        <v>44629.770833333336</v>
      </c>
      <c r="C267" s="3">
        <f>15996057/10^5</f>
        <v>159.96056999999999</v>
      </c>
      <c r="D267" s="3">
        <f>13583671/10^5</f>
        <v>135.83671000000001</v>
      </c>
      <c r="E267" s="3"/>
      <c r="F267" s="3"/>
      <c r="G267" s="3">
        <f>2412386/10^5</f>
        <v>24.123860000000001</v>
      </c>
      <c r="H267" s="3">
        <f t="shared" ref="H267:I269" si="17">1600/10^0</f>
        <v>1600</v>
      </c>
      <c r="I267" s="3">
        <f t="shared" si="17"/>
        <v>1600</v>
      </c>
      <c r="J267" s="3">
        <f t="shared" si="16"/>
        <v>185.06</v>
      </c>
      <c r="K267" s="3">
        <f>1979901046/10^8</f>
        <v>19.799010460000002</v>
      </c>
      <c r="L267" s="3">
        <f>31532546/10^7</f>
        <v>3.1532545999999999</v>
      </c>
      <c r="M267" s="3">
        <f>3938283103/10^8</f>
        <v>39.382831029999998</v>
      </c>
      <c r="N267" s="5"/>
    </row>
    <row r="268" spans="1:14" x14ac:dyDescent="0.3">
      <c r="A268" s="7">
        <v>44629.770833333336</v>
      </c>
      <c r="B268" s="7">
        <v>44629.78125</v>
      </c>
      <c r="C268" s="3">
        <f>15538573/10^5</f>
        <v>155.38573</v>
      </c>
      <c r="D268" s="3">
        <f>13444837/10^5</f>
        <v>134.44837000000001</v>
      </c>
      <c r="E268" s="3"/>
      <c r="F268" s="3"/>
      <c r="G268" s="3">
        <f>2093736/10^5</f>
        <v>20.937360000000002</v>
      </c>
      <c r="H268" s="3">
        <f t="shared" si="17"/>
        <v>1600</v>
      </c>
      <c r="I268" s="3">
        <f t="shared" si="17"/>
        <v>1600</v>
      </c>
      <c r="J268" s="3">
        <f t="shared" si="16"/>
        <v>185.06</v>
      </c>
      <c r="K268" s="3">
        <f>2019689069/10^8</f>
        <v>20.19689069</v>
      </c>
      <c r="L268" s="3">
        <f>287624294/10^8</f>
        <v>2.87624294</v>
      </c>
      <c r="M268" s="3">
        <f>4028802262/10^8</f>
        <v>40.28802262</v>
      </c>
      <c r="N268" s="5"/>
    </row>
    <row r="269" spans="1:14" x14ac:dyDescent="0.3">
      <c r="A269" s="7">
        <v>44629.78125</v>
      </c>
      <c r="B269" s="7">
        <v>44629.791666666664</v>
      </c>
      <c r="C269" s="3">
        <f>15431656/10^5</f>
        <v>154.31656000000001</v>
      </c>
      <c r="D269" s="3">
        <f>13372269/10^5</f>
        <v>133.72269</v>
      </c>
      <c r="E269" s="3"/>
      <c r="F269" s="3"/>
      <c r="G269" s="3">
        <f>2059387/10^5</f>
        <v>20.593869999999999</v>
      </c>
      <c r="H269" s="3">
        <f t="shared" si="17"/>
        <v>1600</v>
      </c>
      <c r="I269" s="3">
        <f t="shared" si="17"/>
        <v>1600</v>
      </c>
      <c r="J269" s="3">
        <f t="shared" si="16"/>
        <v>185.06</v>
      </c>
      <c r="K269" s="3">
        <f>2076466057/10^8</f>
        <v>20.76466057</v>
      </c>
      <c r="L269" s="3">
        <f>435677413/10^8</f>
        <v>4.3567741299999998</v>
      </c>
      <c r="M269" s="3">
        <f>3542619074/10^8</f>
        <v>35.426190740000003</v>
      </c>
      <c r="N269" s="5"/>
    </row>
    <row r="270" spans="1:14" x14ac:dyDescent="0.3">
      <c r="A270" s="7">
        <v>44629.791666666664</v>
      </c>
      <c r="B270" s="7">
        <v>44629.802083333336</v>
      </c>
      <c r="C270" s="3">
        <f>16051046/10^5</f>
        <v>160.51045999999999</v>
      </c>
      <c r="D270" s="3">
        <f>13162426/10^5</f>
        <v>131.62425999999999</v>
      </c>
      <c r="E270" s="3"/>
      <c r="F270" s="3"/>
      <c r="G270" s="3">
        <f>288862/10^4</f>
        <v>28.886199999999999</v>
      </c>
      <c r="H270" s="3">
        <f>5389399999/10^7</f>
        <v>538.93999989999998</v>
      </c>
      <c r="I270" s="3">
        <f>53894/10^2</f>
        <v>538.94000000000005</v>
      </c>
      <c r="J270" s="3">
        <f>1846/10^1</f>
        <v>184.6</v>
      </c>
      <c r="K270" s="3">
        <f>1616081641/10^8</f>
        <v>16.160816409999999</v>
      </c>
      <c r="L270" s="3">
        <f>294869838/10^8</f>
        <v>2.9486983800000002</v>
      </c>
      <c r="M270" s="3">
        <f>473624991/10^8</f>
        <v>4.7362499099999997</v>
      </c>
      <c r="N270" s="5"/>
    </row>
    <row r="271" spans="1:14" x14ac:dyDescent="0.3">
      <c r="A271" s="7">
        <v>44629.802083333336</v>
      </c>
      <c r="B271" s="7">
        <v>44629.8125</v>
      </c>
      <c r="C271" s="3">
        <f>14165459/10^5</f>
        <v>141.65459000000001</v>
      </c>
      <c r="D271" s="3">
        <f>135297/10^3</f>
        <v>135.297</v>
      </c>
      <c r="E271" s="3"/>
      <c r="F271" s="3"/>
      <c r="G271" s="3">
        <f>635759/10^5</f>
        <v>6.3575900000000001</v>
      </c>
      <c r="H271" s="3">
        <f>5389399999/10^7</f>
        <v>538.93999989999998</v>
      </c>
      <c r="I271" s="3">
        <f>53894/10^2</f>
        <v>538.94000000000005</v>
      </c>
      <c r="J271" s="3">
        <f>18506/10^2</f>
        <v>185.06</v>
      </c>
      <c r="K271" s="3">
        <f>1655480566/10^8</f>
        <v>16.55480566</v>
      </c>
      <c r="L271" s="3">
        <f>297338801/10^8</f>
        <v>2.9733880099999999</v>
      </c>
      <c r="M271" s="3">
        <f>299545373/10^8</f>
        <v>2.9954537299999999</v>
      </c>
      <c r="N271" s="5"/>
    </row>
    <row r="272" spans="1:14" x14ac:dyDescent="0.3">
      <c r="A272" s="7">
        <v>44629.8125</v>
      </c>
      <c r="B272" s="7">
        <v>44629.822916666664</v>
      </c>
      <c r="C272" s="3">
        <f>14064381/10^5</f>
        <v>140.64381</v>
      </c>
      <c r="D272" s="3">
        <f>12478098/10^5</f>
        <v>124.78098</v>
      </c>
      <c r="E272" s="3"/>
      <c r="F272" s="3"/>
      <c r="G272" s="3">
        <f>1586283/10^5</f>
        <v>15.862830000000001</v>
      </c>
      <c r="H272" s="3">
        <f>5389399999/10^7</f>
        <v>538.93999989999998</v>
      </c>
      <c r="I272" s="3">
        <f>53894/10^2</f>
        <v>538.94000000000005</v>
      </c>
      <c r="J272" s="3">
        <f>18506/10^2</f>
        <v>185.06</v>
      </c>
      <c r="K272" s="3">
        <f>1610042016/10^8</f>
        <v>16.100420159999999</v>
      </c>
      <c r="L272" s="3">
        <f>312396415/10^8</f>
        <v>3.1239641499999999</v>
      </c>
      <c r="M272" s="3">
        <f>1013735241/10^8</f>
        <v>10.13735241</v>
      </c>
      <c r="N272" s="5"/>
    </row>
    <row r="273" spans="1:14" x14ac:dyDescent="0.3">
      <c r="A273" s="7">
        <v>44629.822916666664</v>
      </c>
      <c r="B273" s="7">
        <v>44629.833333333336</v>
      </c>
      <c r="C273" s="3">
        <f>12484805/10^5</f>
        <v>124.84805</v>
      </c>
      <c r="D273" s="3">
        <f>12847317/10^5</f>
        <v>128.47317000000001</v>
      </c>
      <c r="E273" s="3"/>
      <c r="F273" s="3"/>
      <c r="G273" s="3">
        <f>-362512/10^5</f>
        <v>-3.6251199999999999</v>
      </c>
      <c r="H273" s="3">
        <f>1831888371/10^7</f>
        <v>183.1888371</v>
      </c>
      <c r="I273" s="3">
        <f>53894/10^2</f>
        <v>538.94000000000005</v>
      </c>
      <c r="J273" s="3">
        <f>1846/10^1</f>
        <v>184.6</v>
      </c>
      <c r="K273" s="3">
        <f>1577134681/10^8</f>
        <v>15.771346810000001</v>
      </c>
      <c r="L273" s="3">
        <f>315942957/10^8</f>
        <v>3.1594295699999999</v>
      </c>
      <c r="M273" s="3">
        <f>1835220111/10^8</f>
        <v>18.352201109999999</v>
      </c>
      <c r="N273" s="5"/>
    </row>
    <row r="274" spans="1:14" x14ac:dyDescent="0.3">
      <c r="A274" s="7">
        <v>44629.833333333336</v>
      </c>
      <c r="B274" s="7">
        <v>44629.84375</v>
      </c>
      <c r="C274" s="3">
        <f>16769642/10^5</f>
        <v>167.69641999999999</v>
      </c>
      <c r="D274" s="3">
        <f>9701714/10^5</f>
        <v>97.017139999999998</v>
      </c>
      <c r="E274" s="3"/>
      <c r="F274" s="3"/>
      <c r="G274" s="3">
        <f>7067928/10^5</f>
        <v>70.679280000000006</v>
      </c>
      <c r="H274" s="3">
        <f>4122720999/10^7</f>
        <v>412.2720999</v>
      </c>
      <c r="I274" s="3">
        <f>41207/10^2</f>
        <v>412.07</v>
      </c>
      <c r="J274" s="3">
        <f t="shared" ref="J274:J280" si="18">18506/10^2</f>
        <v>185.06</v>
      </c>
      <c r="K274" s="3">
        <f>1267000484/10^8</f>
        <v>12.670004840000001</v>
      </c>
      <c r="L274" s="3">
        <f>369216927/10^8</f>
        <v>3.6921692699999999</v>
      </c>
      <c r="M274" s="3">
        <f>214940632/10^8</f>
        <v>2.1494063200000002</v>
      </c>
      <c r="N274" s="5"/>
    </row>
    <row r="275" spans="1:14" x14ac:dyDescent="0.3">
      <c r="A275" s="7">
        <v>44629.84375</v>
      </c>
      <c r="B275" s="7">
        <v>44629.854166666664</v>
      </c>
      <c r="C275" s="3">
        <f>10980121/10^5</f>
        <v>109.80121</v>
      </c>
      <c r="D275" s="3">
        <f>8292214/10^5</f>
        <v>82.922139999999999</v>
      </c>
      <c r="E275" s="3"/>
      <c r="F275" s="3"/>
      <c r="G275" s="3">
        <f>2687907/10^5</f>
        <v>26.879069999999999</v>
      </c>
      <c r="H275" s="3">
        <f>4121541732/10^7</f>
        <v>412.1541732</v>
      </c>
      <c r="I275" s="3">
        <f>41207/10^2</f>
        <v>412.07</v>
      </c>
      <c r="J275" s="3">
        <f t="shared" si="18"/>
        <v>185.06</v>
      </c>
      <c r="K275" s="3">
        <f>1290075637/10^8</f>
        <v>12.90075637</v>
      </c>
      <c r="L275" s="3">
        <f>357719652/10^8</f>
        <v>3.5771965200000002</v>
      </c>
      <c r="M275" s="3">
        <f>-2582929/10^7</f>
        <v>-0.25829289999999999</v>
      </c>
      <c r="N275" s="5"/>
    </row>
    <row r="276" spans="1:14" x14ac:dyDescent="0.3">
      <c r="A276" s="7">
        <v>44629.854166666664</v>
      </c>
      <c r="B276" s="7">
        <v>44629.864583333336</v>
      </c>
      <c r="C276" s="3">
        <f>10423686/10^5</f>
        <v>104.23685999999999</v>
      </c>
      <c r="D276" s="3">
        <f>1135503/10^4</f>
        <v>113.55029999999999</v>
      </c>
      <c r="E276" s="3"/>
      <c r="F276" s="3"/>
      <c r="G276" s="3">
        <f>-931344/10^5</f>
        <v>-9.3134399999999999</v>
      </c>
      <c r="H276" s="3">
        <f>183921627/10^6</f>
        <v>183.921627</v>
      </c>
      <c r="I276" s="3">
        <f>41207/10^2</f>
        <v>412.07</v>
      </c>
      <c r="J276" s="3">
        <f t="shared" si="18"/>
        <v>185.06</v>
      </c>
      <c r="K276" s="3">
        <f>1259970873/10^8</f>
        <v>12.59970873</v>
      </c>
      <c r="L276" s="3">
        <f>376698713/10^8</f>
        <v>3.76698713</v>
      </c>
      <c r="M276" s="3">
        <f>822059127/10^8</f>
        <v>8.2205912699999999</v>
      </c>
      <c r="N276" s="5"/>
    </row>
    <row r="277" spans="1:14" x14ac:dyDescent="0.3">
      <c r="A277" s="7">
        <v>44629.864583333336</v>
      </c>
      <c r="B277" s="7">
        <v>44629.875</v>
      </c>
      <c r="C277" s="3">
        <f>11188559/10^5</f>
        <v>111.88558999999999</v>
      </c>
      <c r="D277" s="3">
        <f>16442932/10^5</f>
        <v>164.42931999999999</v>
      </c>
      <c r="E277" s="3"/>
      <c r="F277" s="3"/>
      <c r="G277" s="3">
        <f>-5254373/10^5</f>
        <v>-52.543729999999996</v>
      </c>
      <c r="H277" s="3">
        <f>1838921989/10^7</f>
        <v>183.89219890000001</v>
      </c>
      <c r="I277" s="3">
        <f>41207/10^2</f>
        <v>412.07</v>
      </c>
      <c r="J277" s="3">
        <f t="shared" si="18"/>
        <v>185.06</v>
      </c>
      <c r="K277" s="3">
        <f>1320306032/10^8</f>
        <v>13.203060320000001</v>
      </c>
      <c r="L277" s="3">
        <f>386831276/10^8</f>
        <v>3.8683127599999998</v>
      </c>
      <c r="M277" s="3">
        <f>979193461/10^8</f>
        <v>9.7919346100000002</v>
      </c>
      <c r="N277" s="5"/>
    </row>
    <row r="278" spans="1:14" x14ac:dyDescent="0.3">
      <c r="A278" s="7">
        <v>44629.875</v>
      </c>
      <c r="B278" s="7">
        <v>44629.885416666664</v>
      </c>
      <c r="C278" s="3">
        <f>17478869/10^5</f>
        <v>174.78869</v>
      </c>
      <c r="D278" s="3">
        <f>13208321/10^5</f>
        <v>132.08321000000001</v>
      </c>
      <c r="E278" s="3"/>
      <c r="F278" s="3"/>
      <c r="G278" s="3">
        <f>4270548/10^5</f>
        <v>42.705480000000001</v>
      </c>
      <c r="H278" s="3">
        <f>369951679/10^6</f>
        <v>369.95167900000001</v>
      </c>
      <c r="I278" s="3">
        <f t="shared" ref="I278:I286" si="19">3698/10^1</f>
        <v>369.8</v>
      </c>
      <c r="J278" s="3">
        <f t="shared" si="18"/>
        <v>185.06</v>
      </c>
      <c r="K278" s="3">
        <f>1209604499/10^8</f>
        <v>12.096044989999999</v>
      </c>
      <c r="L278" s="3">
        <f>545512022/10^8</f>
        <v>5.4551202200000004</v>
      </c>
      <c r="M278" s="3">
        <f>4581675/10^6</f>
        <v>4.5816749999999997</v>
      </c>
      <c r="N278" s="5"/>
    </row>
    <row r="279" spans="1:14" x14ac:dyDescent="0.3">
      <c r="A279" s="7">
        <v>44629.885416666664</v>
      </c>
      <c r="B279" s="7">
        <v>44629.895833333336</v>
      </c>
      <c r="C279" s="3">
        <f>16111936/10^5</f>
        <v>161.11936</v>
      </c>
      <c r="D279" s="3">
        <f>1313874/10^4</f>
        <v>131.38740000000001</v>
      </c>
      <c r="E279" s="3"/>
      <c r="F279" s="3"/>
      <c r="G279" s="3">
        <f>2973196/10^5</f>
        <v>29.731960000000001</v>
      </c>
      <c r="H279" s="3">
        <f>3697999999/10^7</f>
        <v>369.79999989999999</v>
      </c>
      <c r="I279" s="3">
        <f t="shared" si="19"/>
        <v>369.8</v>
      </c>
      <c r="J279" s="3">
        <f t="shared" si="18"/>
        <v>185.06</v>
      </c>
      <c r="K279" s="3">
        <f>1148628935/10^8</f>
        <v>11.48628935</v>
      </c>
      <c r="L279" s="3">
        <f>555442759/10^8</f>
        <v>5.5544275900000004</v>
      </c>
      <c r="M279" s="3">
        <f>708791505/10^8</f>
        <v>7.0879150500000003</v>
      </c>
      <c r="N279" s="5"/>
    </row>
    <row r="280" spans="1:14" x14ac:dyDescent="0.3">
      <c r="A280" s="7">
        <v>44629.895833333336</v>
      </c>
      <c r="B280" s="7">
        <v>44629.90625</v>
      </c>
      <c r="C280" s="3">
        <f>17760607/10^5</f>
        <v>177.60606999999999</v>
      </c>
      <c r="D280" s="3">
        <f>2078756/10^4</f>
        <v>207.87559999999999</v>
      </c>
      <c r="E280" s="3"/>
      <c r="F280" s="3"/>
      <c r="G280" s="3">
        <f>-3026953/10^5</f>
        <v>-30.26953</v>
      </c>
      <c r="H280" s="3">
        <f>1832835019/10^7</f>
        <v>183.2835019</v>
      </c>
      <c r="I280" s="3">
        <f t="shared" si="19"/>
        <v>369.8</v>
      </c>
      <c r="J280" s="3">
        <f t="shared" si="18"/>
        <v>185.06</v>
      </c>
      <c r="K280" s="3">
        <f>1210120364/10^8</f>
        <v>12.10120364</v>
      </c>
      <c r="L280" s="3">
        <f>535518409/10^8</f>
        <v>5.3551840899999998</v>
      </c>
      <c r="M280" s="3">
        <f>1435806438/10^8</f>
        <v>14.35806438</v>
      </c>
      <c r="N280" s="5"/>
    </row>
    <row r="281" spans="1:14" x14ac:dyDescent="0.3">
      <c r="A281" s="7">
        <v>44629.90625</v>
      </c>
      <c r="B281" s="7">
        <v>44629.916666666664</v>
      </c>
      <c r="C281" s="3">
        <f>17392011/10^5</f>
        <v>173.92010999999999</v>
      </c>
      <c r="D281" s="3">
        <f>25371397/10^5</f>
        <v>253.71396999999999</v>
      </c>
      <c r="E281" s="3"/>
      <c r="F281" s="3"/>
      <c r="G281" s="3">
        <f>-7979386/10^5</f>
        <v>-79.793859999999995</v>
      </c>
      <c r="H281" s="3">
        <f>1830307374/10^7</f>
        <v>183.03073739999999</v>
      </c>
      <c r="I281" s="3">
        <f t="shared" si="19"/>
        <v>369.8</v>
      </c>
      <c r="J281" s="3">
        <f>18477/10^2</f>
        <v>184.77</v>
      </c>
      <c r="K281" s="3">
        <f>1238029137/10^8</f>
        <v>12.38029137</v>
      </c>
      <c r="L281" s="3">
        <f>55229498/10^7</f>
        <v>5.5229498000000001</v>
      </c>
      <c r="M281" s="3">
        <f>1448868687/10^8</f>
        <v>14.48868687</v>
      </c>
      <c r="N281" s="5"/>
    </row>
    <row r="282" spans="1:14" x14ac:dyDescent="0.3">
      <c r="A282" s="7">
        <v>44629.916666666664</v>
      </c>
      <c r="B282" s="7">
        <v>44629.927083333336</v>
      </c>
      <c r="C282" s="3">
        <f>25428407/10^5</f>
        <v>254.28407000000001</v>
      </c>
      <c r="D282" s="3">
        <f>8508809/10^5</f>
        <v>85.088089999999994</v>
      </c>
      <c r="E282" s="3"/>
      <c r="F282" s="3"/>
      <c r="G282" s="3">
        <f>16919598/10^5</f>
        <v>169.19597999999999</v>
      </c>
      <c r="H282" s="3">
        <f>3700704493/10^7</f>
        <v>370.07044930000001</v>
      </c>
      <c r="I282" s="3">
        <f t="shared" si="19"/>
        <v>369.8</v>
      </c>
      <c r="J282" s="3">
        <f>19839/10^2</f>
        <v>198.39</v>
      </c>
      <c r="K282" s="3">
        <f>1226943819/10^8</f>
        <v>12.269438190000001</v>
      </c>
      <c r="L282" s="3">
        <f>548220348/10^8</f>
        <v>5.4822034799999999</v>
      </c>
      <c r="M282" s="3">
        <f>2413475391/10^8</f>
        <v>24.134753910000001</v>
      </c>
      <c r="N282" s="5"/>
    </row>
    <row r="283" spans="1:14" x14ac:dyDescent="0.3">
      <c r="A283" s="7">
        <v>44629.927083333336</v>
      </c>
      <c r="B283" s="7">
        <v>44629.9375</v>
      </c>
      <c r="C283" s="3">
        <f>20795033/10^5</f>
        <v>207.95033000000001</v>
      </c>
      <c r="D283" s="3">
        <f>5743287/10^5</f>
        <v>57.432870000000001</v>
      </c>
      <c r="E283" s="3"/>
      <c r="F283" s="3"/>
      <c r="G283" s="3">
        <f>15051746/10^5</f>
        <v>150.51746</v>
      </c>
      <c r="H283" s="3">
        <f>3697999999/10^7</f>
        <v>369.79999989999999</v>
      </c>
      <c r="I283" s="3">
        <f t="shared" si="19"/>
        <v>369.8</v>
      </c>
      <c r="J283" s="3">
        <f>21715/10^2</f>
        <v>217.15</v>
      </c>
      <c r="K283" s="3">
        <f>1295835617/10^8</f>
        <v>12.95835617</v>
      </c>
      <c r="L283" s="3">
        <f>557030749/10^8</f>
        <v>5.5703074900000003</v>
      </c>
      <c r="M283" s="3">
        <f>-538416421/10^8</f>
        <v>-5.3841642099999998</v>
      </c>
      <c r="N283" s="5"/>
    </row>
    <row r="284" spans="1:14" x14ac:dyDescent="0.3">
      <c r="A284" s="7">
        <v>44629.9375</v>
      </c>
      <c r="B284" s="7">
        <v>44629.947916666664</v>
      </c>
      <c r="C284" s="3">
        <f>20395367/10^5</f>
        <v>203.95366999999999</v>
      </c>
      <c r="D284" s="3">
        <f>20292596/10^5</f>
        <v>202.92596</v>
      </c>
      <c r="E284" s="3"/>
      <c r="F284" s="3"/>
      <c r="G284" s="3">
        <f>102771/10^5</f>
        <v>1.0277099999999999</v>
      </c>
      <c r="H284" s="3">
        <f>3697999999/10^7</f>
        <v>369.79999989999999</v>
      </c>
      <c r="I284" s="3">
        <f t="shared" si="19"/>
        <v>369.8</v>
      </c>
      <c r="J284" s="3">
        <f>18407/10^2</f>
        <v>184.07</v>
      </c>
      <c r="K284" s="3">
        <f>1200940597/10^8</f>
        <v>12.00940597</v>
      </c>
      <c r="L284" s="3">
        <f>560493673/10^8</f>
        <v>5.6049367300000004</v>
      </c>
      <c r="M284" s="3">
        <f>1346932728/10^8</f>
        <v>13.46932728</v>
      </c>
      <c r="N284" s="5"/>
    </row>
    <row r="285" spans="1:14" x14ac:dyDescent="0.3">
      <c r="A285" s="7">
        <v>44629.947916666664</v>
      </c>
      <c r="B285" s="7">
        <v>44629.958333333336</v>
      </c>
      <c r="C285" s="3">
        <f>19897352/10^5</f>
        <v>198.97352000000001</v>
      </c>
      <c r="D285" s="3">
        <f>22920358/10^5</f>
        <v>229.20357999999999</v>
      </c>
      <c r="E285" s="3"/>
      <c r="F285" s="3"/>
      <c r="G285" s="3">
        <f>-3023006/10^5</f>
        <v>-30.230060000000002</v>
      </c>
      <c r="H285" s="3">
        <f>1824487587/10^7</f>
        <v>182.44875870000001</v>
      </c>
      <c r="I285" s="3">
        <f t="shared" si="19"/>
        <v>369.8</v>
      </c>
      <c r="J285" s="3">
        <f>18407/10^2</f>
        <v>184.07</v>
      </c>
      <c r="K285" s="3">
        <f>1333098833/10^8</f>
        <v>13.33098833</v>
      </c>
      <c r="L285" s="3">
        <f>517619809/10^8</f>
        <v>5.1761980899999998</v>
      </c>
      <c r="M285" s="3">
        <f>1881230651/10^8</f>
        <v>18.812306509999999</v>
      </c>
      <c r="N285" s="5"/>
    </row>
    <row r="286" spans="1:14" x14ac:dyDescent="0.3">
      <c r="A286" s="7">
        <v>44629.958333333336</v>
      </c>
      <c r="B286" s="7">
        <v>44629.96875</v>
      </c>
      <c r="C286" s="3">
        <f>24163222/10^5</f>
        <v>241.63221999999999</v>
      </c>
      <c r="D286" s="3">
        <f>16060231/10^5</f>
        <v>160.60230999999999</v>
      </c>
      <c r="E286" s="3"/>
      <c r="F286" s="3"/>
      <c r="G286" s="3">
        <f>8102991/10^5</f>
        <v>81.029910000000001</v>
      </c>
      <c r="H286" s="3">
        <f>3706979522/10^7</f>
        <v>370.69795219999997</v>
      </c>
      <c r="I286" s="3">
        <f t="shared" si="19"/>
        <v>369.8</v>
      </c>
      <c r="J286" s="3">
        <f>18409/10^2</f>
        <v>184.09</v>
      </c>
      <c r="K286" s="3">
        <f>74231249/10^7</f>
        <v>7.4231249000000004</v>
      </c>
      <c r="L286" s="3">
        <f>291572426/10^8</f>
        <v>2.9157242600000002</v>
      </c>
      <c r="M286" s="3">
        <f>937252619/10^8</f>
        <v>9.3725261900000003</v>
      </c>
      <c r="N286" s="5"/>
    </row>
    <row r="287" spans="1:14" x14ac:dyDescent="0.3">
      <c r="A287" s="7">
        <v>44629.96875</v>
      </c>
      <c r="B287" s="7">
        <v>44629.979166666664</v>
      </c>
      <c r="C287" s="3">
        <f>19356836/10^5</f>
        <v>193.56836000000001</v>
      </c>
      <c r="D287" s="3">
        <f>13639699/10^5</f>
        <v>136.39698999999999</v>
      </c>
      <c r="E287" s="3"/>
      <c r="F287" s="3"/>
      <c r="G287" s="3">
        <f>5717137/10^5</f>
        <v>57.171370000000003</v>
      </c>
      <c r="H287" s="3">
        <f>3676803835/10^7</f>
        <v>367.6803835</v>
      </c>
      <c r="I287" s="3">
        <f>3676/10^1</f>
        <v>367.6</v>
      </c>
      <c r="J287" s="3">
        <f>18409/10^2</f>
        <v>184.09</v>
      </c>
      <c r="K287" s="3">
        <f>759107147/10^8</f>
        <v>7.5910714700000002</v>
      </c>
      <c r="L287" s="3">
        <f>29563469/10^7</f>
        <v>2.9563469000000002</v>
      </c>
      <c r="M287" s="3">
        <f>134839715/10^8</f>
        <v>1.34839715</v>
      </c>
      <c r="N287" s="5"/>
    </row>
    <row r="288" spans="1:14" x14ac:dyDescent="0.3">
      <c r="A288" s="7">
        <v>44629.979166666664</v>
      </c>
      <c r="B288" s="7">
        <v>44629.989583333336</v>
      </c>
      <c r="C288" s="3">
        <f>15848649/10^5</f>
        <v>158.48649</v>
      </c>
      <c r="D288" s="3">
        <f>14077937/10^5</f>
        <v>140.77937</v>
      </c>
      <c r="E288" s="3"/>
      <c r="F288" s="3"/>
      <c r="G288" s="3">
        <f>1770712/10^5</f>
        <v>17.70712</v>
      </c>
      <c r="H288" s="3">
        <f>3673417012/10^7</f>
        <v>367.34170119999999</v>
      </c>
      <c r="I288" s="3">
        <f>3672/10^1</f>
        <v>367.2</v>
      </c>
      <c r="J288" s="3">
        <f>18407/10^2</f>
        <v>184.07</v>
      </c>
      <c r="K288" s="3">
        <f>763529989/10^8</f>
        <v>7.6352998899999998</v>
      </c>
      <c r="L288" s="3">
        <f>289179475/10^8</f>
        <v>2.8917947499999999</v>
      </c>
      <c r="M288" s="3">
        <f>494083514/10^8</f>
        <v>4.9408351399999999</v>
      </c>
      <c r="N288" s="5"/>
    </row>
    <row r="289" spans="1:14" x14ac:dyDescent="0.3">
      <c r="A289" s="7">
        <v>44629.989583333336</v>
      </c>
      <c r="B289" s="7">
        <v>44630</v>
      </c>
      <c r="C289" s="3">
        <f>12965123/10^5</f>
        <v>129.65123</v>
      </c>
      <c r="D289" s="3">
        <f>16054704/10^5</f>
        <v>160.54704000000001</v>
      </c>
      <c r="E289" s="3"/>
      <c r="F289" s="3"/>
      <c r="G289" s="3">
        <f>-3089581/10^5</f>
        <v>-30.895810000000001</v>
      </c>
      <c r="H289" s="3">
        <f>1823443205/10^7</f>
        <v>182.34432050000001</v>
      </c>
      <c r="I289" s="3">
        <f>3698/10^1</f>
        <v>369.8</v>
      </c>
      <c r="J289" s="3">
        <f>18407/10^2</f>
        <v>184.07</v>
      </c>
      <c r="K289" s="3">
        <f>852041419/10^8</f>
        <v>8.5204141900000003</v>
      </c>
      <c r="L289" s="3">
        <f>274569577/10^8</f>
        <v>2.7456957700000002</v>
      </c>
      <c r="M289" s="3">
        <f>1206131035/10^8</f>
        <v>12.061310349999999</v>
      </c>
      <c r="N289" s="5"/>
    </row>
    <row r="290" spans="1:14" x14ac:dyDescent="0.3">
      <c r="A290" s="7">
        <v>44630</v>
      </c>
      <c r="B290" s="7">
        <v>44630.010416666664</v>
      </c>
      <c r="C290" s="3">
        <f>4703553/10^5</f>
        <v>47.035530000000001</v>
      </c>
      <c r="D290" s="3">
        <f>8407209/10^5</f>
        <v>84.072090000000003</v>
      </c>
      <c r="E290" s="3"/>
      <c r="F290" s="3"/>
      <c r="G290" s="3">
        <f>-3703656/10^5</f>
        <v>-37.036560000000001</v>
      </c>
      <c r="H290" s="3">
        <f>1473542968/10^7</f>
        <v>147.35429679999999</v>
      </c>
      <c r="I290" s="3">
        <f>31149/10^2</f>
        <v>311.49</v>
      </c>
      <c r="J290" s="3">
        <f>14934/10^2</f>
        <v>149.34</v>
      </c>
      <c r="K290" s="3">
        <f>1798171668/10^8</f>
        <v>17.981716680000002</v>
      </c>
      <c r="L290" s="3">
        <f>249716366/10^8</f>
        <v>2.49716366</v>
      </c>
      <c r="M290" s="3">
        <f>781859392/10^8</f>
        <v>7.8185939199999996</v>
      </c>
      <c r="N290" s="5"/>
    </row>
    <row r="291" spans="1:14" x14ac:dyDescent="0.3">
      <c r="A291" s="7">
        <v>44630.010416666664</v>
      </c>
      <c r="B291" s="7">
        <v>44630.020833333336</v>
      </c>
      <c r="C291" s="3">
        <f>4303276/10^5</f>
        <v>43.032760000000003</v>
      </c>
      <c r="D291" s="3">
        <f>8141594/10^5</f>
        <v>81.415940000000006</v>
      </c>
      <c r="E291" s="3"/>
      <c r="F291" s="3"/>
      <c r="G291" s="3">
        <f>-3838318/10^5</f>
        <v>-38.383180000000003</v>
      </c>
      <c r="H291" s="3">
        <f>1264484803/10^7</f>
        <v>126.4484803</v>
      </c>
      <c r="I291" s="3">
        <f>446/10^0</f>
        <v>446</v>
      </c>
      <c r="J291" s="3">
        <f>14934/10^2</f>
        <v>149.34</v>
      </c>
      <c r="K291" s="3">
        <f>183646378/10^7</f>
        <v>18.364637800000001</v>
      </c>
      <c r="L291" s="3">
        <f>255673036/10^8</f>
        <v>2.55673036</v>
      </c>
      <c r="M291" s="3">
        <f>1287070792/10^8</f>
        <v>12.870707919999999</v>
      </c>
      <c r="N291" s="5"/>
    </row>
    <row r="292" spans="1:14" x14ac:dyDescent="0.3">
      <c r="A292" s="7">
        <v>44630.020833333336</v>
      </c>
      <c r="B292" s="7">
        <v>44630.03125</v>
      </c>
      <c r="C292" s="3">
        <f>374071/10^4</f>
        <v>37.4071</v>
      </c>
      <c r="D292" s="3">
        <f>7768213/10^5</f>
        <v>77.682130000000001</v>
      </c>
      <c r="E292" s="3"/>
      <c r="F292" s="3"/>
      <c r="G292" s="3">
        <f>-4027503/10^5</f>
        <v>-40.275030000000001</v>
      </c>
      <c r="H292" s="3">
        <f>1490458128/10^7</f>
        <v>149.04581279999999</v>
      </c>
      <c r="I292" s="3">
        <f>3587/10^1</f>
        <v>358.7</v>
      </c>
      <c r="J292" s="3">
        <f>16775/10^2</f>
        <v>167.75</v>
      </c>
      <c r="K292" s="3">
        <f>1828370215/10^8</f>
        <v>18.28370215</v>
      </c>
      <c r="L292" s="3">
        <f>226964626/10^8</f>
        <v>2.26964626</v>
      </c>
      <c r="M292" s="3">
        <f>837245535/10^8</f>
        <v>8.3724553499999992</v>
      </c>
      <c r="N292" s="5"/>
    </row>
    <row r="293" spans="1:14" x14ac:dyDescent="0.3">
      <c r="A293" s="7">
        <v>44630.03125</v>
      </c>
      <c r="B293" s="7">
        <v>44630.041666666664</v>
      </c>
      <c r="C293" s="3">
        <f>4013814/10^5</f>
        <v>40.13814</v>
      </c>
      <c r="D293" s="3">
        <f>8334001/10^5</f>
        <v>83.340010000000007</v>
      </c>
      <c r="E293" s="3"/>
      <c r="F293" s="3"/>
      <c r="G293" s="3">
        <f>-4320187/10^5</f>
        <v>-43.20187</v>
      </c>
      <c r="H293" s="3">
        <f>1549088687/10^7</f>
        <v>154.9088687</v>
      </c>
      <c r="I293" s="3">
        <f>3587/10^1</f>
        <v>358.7</v>
      </c>
      <c r="J293" s="3">
        <f>16775/10^2</f>
        <v>167.75</v>
      </c>
      <c r="K293" s="3">
        <f>1869945108/10^8</f>
        <v>18.699451079999999</v>
      </c>
      <c r="L293" s="3">
        <f>228309174/10^8</f>
        <v>2.2830917400000001</v>
      </c>
      <c r="M293" s="3">
        <f>618023714/10^8</f>
        <v>6.18023714</v>
      </c>
      <c r="N293" s="5"/>
    </row>
    <row r="294" spans="1:14" x14ac:dyDescent="0.3">
      <c r="A294" s="7">
        <v>44630.041666666664</v>
      </c>
      <c r="B294" s="7">
        <v>44630.052083333336</v>
      </c>
      <c r="C294" s="3">
        <f>10552461/10^5</f>
        <v>105.52461</v>
      </c>
      <c r="D294" s="3">
        <f>6621232/10^5</f>
        <v>66.212320000000005</v>
      </c>
      <c r="E294" s="3"/>
      <c r="F294" s="3"/>
      <c r="G294" s="3">
        <f>3931229/10^5</f>
        <v>39.312289999999997</v>
      </c>
      <c r="H294" s="3">
        <f>4497299999/10^7</f>
        <v>449.7299999</v>
      </c>
      <c r="I294" s="3">
        <f>44973/10^2</f>
        <v>449.73</v>
      </c>
      <c r="J294" s="3">
        <f>1514/10^1</f>
        <v>151.4</v>
      </c>
      <c r="K294" s="3">
        <f>1196472836/10^8</f>
        <v>11.964728360000001</v>
      </c>
      <c r="L294" s="3">
        <f>171417322/10^8</f>
        <v>1.7141732199999999</v>
      </c>
      <c r="M294" s="3">
        <f>1731164977/10^8</f>
        <v>17.311649769999999</v>
      </c>
      <c r="N294" s="5"/>
    </row>
    <row r="295" spans="1:14" x14ac:dyDescent="0.3">
      <c r="A295" s="7">
        <v>44630.052083333336</v>
      </c>
      <c r="B295" s="7">
        <v>44630.0625</v>
      </c>
      <c r="C295" s="3">
        <f>12985069/10^5</f>
        <v>129.85068999999999</v>
      </c>
      <c r="D295" s="3">
        <f>6261661/10^5</f>
        <v>62.616610000000001</v>
      </c>
      <c r="E295" s="3"/>
      <c r="F295" s="3"/>
      <c r="G295" s="3">
        <f>6723408/10^5</f>
        <v>67.234080000000006</v>
      </c>
      <c r="H295" s="3">
        <f>4497299999/10^7</f>
        <v>449.7299999</v>
      </c>
      <c r="I295" s="3">
        <f>44973/10^2</f>
        <v>449.73</v>
      </c>
      <c r="J295" s="3">
        <f t="shared" ref="J295:J307" si="20">16775/10^2</f>
        <v>167.75</v>
      </c>
      <c r="K295" s="3">
        <f>1174208566/10^8</f>
        <v>11.742085660000001</v>
      </c>
      <c r="L295" s="3">
        <f>171526197/10^8</f>
        <v>1.71526197</v>
      </c>
      <c r="M295" s="3">
        <f>1868207939/10^8</f>
        <v>18.682079389999998</v>
      </c>
      <c r="N295" s="5"/>
    </row>
    <row r="296" spans="1:14" x14ac:dyDescent="0.3">
      <c r="A296" s="7">
        <v>44630.0625</v>
      </c>
      <c r="B296" s="7">
        <v>44630.072916666664</v>
      </c>
      <c r="C296" s="3">
        <f>13891568/10^5</f>
        <v>138.91568000000001</v>
      </c>
      <c r="D296" s="3">
        <f>6717593/10^5</f>
        <v>67.175929999999994</v>
      </c>
      <c r="E296" s="3"/>
      <c r="F296" s="3"/>
      <c r="G296" s="3">
        <f>7173975/10^5</f>
        <v>71.739750000000001</v>
      </c>
      <c r="H296" s="3">
        <f>444/10^0</f>
        <v>444</v>
      </c>
      <c r="I296" s="3">
        <f>444/10^0</f>
        <v>444</v>
      </c>
      <c r="J296" s="3">
        <f t="shared" si="20"/>
        <v>167.75</v>
      </c>
      <c r="K296" s="3">
        <f>1237275582/10^8</f>
        <v>12.37275582</v>
      </c>
      <c r="L296" s="3">
        <f>183457682/10^8</f>
        <v>1.8345768200000001</v>
      </c>
      <c r="M296" s="3">
        <f>265832011/10^7</f>
        <v>26.5832011</v>
      </c>
      <c r="N296" s="5"/>
    </row>
    <row r="297" spans="1:14" x14ac:dyDescent="0.3">
      <c r="A297" s="7">
        <v>44630.072916666664</v>
      </c>
      <c r="B297" s="7">
        <v>44630.083333333336</v>
      </c>
      <c r="C297" s="3">
        <f>10294371/10^5</f>
        <v>102.94371</v>
      </c>
      <c r="D297" s="3">
        <f>4872286/10^5</f>
        <v>48.722859999999997</v>
      </c>
      <c r="E297" s="3"/>
      <c r="F297" s="3"/>
      <c r="G297" s="3">
        <f>5422085/10^5</f>
        <v>54.220849999999999</v>
      </c>
      <c r="H297" s="3">
        <f>3527585875/10^7</f>
        <v>352.75858749999998</v>
      </c>
      <c r="I297" s="3">
        <f>35262/10^2</f>
        <v>352.62</v>
      </c>
      <c r="J297" s="3">
        <f t="shared" si="20"/>
        <v>167.75</v>
      </c>
      <c r="K297" s="3">
        <f>1335756054/10^8</f>
        <v>13.35756054</v>
      </c>
      <c r="L297" s="3">
        <f>184928612/10^8</f>
        <v>1.8492861199999999</v>
      </c>
      <c r="M297" s="3">
        <f>155384039/10^7</f>
        <v>15.5384039</v>
      </c>
      <c r="N297" s="5"/>
    </row>
    <row r="298" spans="1:14" x14ac:dyDescent="0.3">
      <c r="A298" s="7">
        <v>44630.083333333336</v>
      </c>
      <c r="B298" s="7">
        <v>44630.09375</v>
      </c>
      <c r="C298" s="3">
        <f>11724951/10^5</f>
        <v>117.24951</v>
      </c>
      <c r="D298" s="3">
        <f>7612468/10^5</f>
        <v>76.124679999999998</v>
      </c>
      <c r="E298" s="3"/>
      <c r="F298" s="3"/>
      <c r="G298" s="3">
        <f>4112483/10^5</f>
        <v>41.124830000000003</v>
      </c>
      <c r="H298" s="3">
        <f>3425999999/10^7</f>
        <v>342.5999999</v>
      </c>
      <c r="I298" s="3">
        <f t="shared" ref="I298:I303" si="21">3426/10^1</f>
        <v>342.6</v>
      </c>
      <c r="J298" s="3">
        <f t="shared" si="20"/>
        <v>167.75</v>
      </c>
      <c r="K298" s="3">
        <f>1321098333/10^8</f>
        <v>13.210983329999999</v>
      </c>
      <c r="L298" s="3">
        <f>148795485/10^8</f>
        <v>1.4879548499999999</v>
      </c>
      <c r="M298" s="3">
        <f>752640092/10^8</f>
        <v>7.5264009200000004</v>
      </c>
      <c r="N298" s="5"/>
    </row>
    <row r="299" spans="1:14" x14ac:dyDescent="0.3">
      <c r="A299" s="7">
        <v>44630.09375</v>
      </c>
      <c r="B299" s="7">
        <v>44630.104166666664</v>
      </c>
      <c r="C299" s="3">
        <f>10641942/10^5</f>
        <v>106.41942</v>
      </c>
      <c r="D299" s="3">
        <f>6613329/10^5</f>
        <v>66.133290000000002</v>
      </c>
      <c r="E299" s="3"/>
      <c r="F299" s="3"/>
      <c r="G299" s="3">
        <f>4028613/10^5</f>
        <v>40.28613</v>
      </c>
      <c r="H299" s="3">
        <f>3425999999/10^7</f>
        <v>342.5999999</v>
      </c>
      <c r="I299" s="3">
        <f t="shared" si="21"/>
        <v>342.6</v>
      </c>
      <c r="J299" s="3">
        <f t="shared" si="20"/>
        <v>167.75</v>
      </c>
      <c r="K299" s="3">
        <f>1330352041/10^8</f>
        <v>13.303520410000001</v>
      </c>
      <c r="L299" s="3">
        <f>145742478/10^8</f>
        <v>1.45742478</v>
      </c>
      <c r="M299" s="3">
        <f>1106558335/10^8</f>
        <v>11.065583350000001</v>
      </c>
      <c r="N299" s="5"/>
    </row>
    <row r="300" spans="1:14" x14ac:dyDescent="0.3">
      <c r="A300" s="7">
        <v>44630.104166666664</v>
      </c>
      <c r="B300" s="7">
        <v>44630.114583333336</v>
      </c>
      <c r="C300" s="3">
        <f>7775979/10^5</f>
        <v>77.759789999999995</v>
      </c>
      <c r="D300" s="3">
        <f>5897975/10^5</f>
        <v>58.979750000000003</v>
      </c>
      <c r="E300" s="3"/>
      <c r="F300" s="3"/>
      <c r="G300" s="3">
        <f>1878004/10^5</f>
        <v>18.78004</v>
      </c>
      <c r="H300" s="3">
        <f>3425999999/10^7</f>
        <v>342.5999999</v>
      </c>
      <c r="I300" s="3">
        <f t="shared" si="21"/>
        <v>342.6</v>
      </c>
      <c r="J300" s="3">
        <f t="shared" si="20"/>
        <v>167.75</v>
      </c>
      <c r="K300" s="3">
        <f>1359937224/10^8</f>
        <v>13.599372239999999</v>
      </c>
      <c r="L300" s="3">
        <f>158624691/10^8</f>
        <v>1.5862469100000001</v>
      </c>
      <c r="M300" s="3">
        <f>122103206/10^7</f>
        <v>12.210320599999999</v>
      </c>
      <c r="N300" s="5"/>
    </row>
    <row r="301" spans="1:14" x14ac:dyDescent="0.3">
      <c r="A301" s="7">
        <v>44630.114583333336</v>
      </c>
      <c r="B301" s="7">
        <v>44630.125</v>
      </c>
      <c r="C301" s="3">
        <f>6896665/10^5</f>
        <v>68.966650000000001</v>
      </c>
      <c r="D301" s="3">
        <f>5091037/10^5</f>
        <v>50.91037</v>
      </c>
      <c r="E301" s="3"/>
      <c r="F301" s="3"/>
      <c r="G301" s="3">
        <f>1805628/10^5</f>
        <v>18.056280000000001</v>
      </c>
      <c r="H301" s="3">
        <f>3426/10^1</f>
        <v>342.6</v>
      </c>
      <c r="I301" s="3">
        <f t="shared" si="21"/>
        <v>342.6</v>
      </c>
      <c r="J301" s="3">
        <f t="shared" si="20"/>
        <v>167.75</v>
      </c>
      <c r="K301" s="3">
        <f>1311681739/10^8</f>
        <v>13.11681739</v>
      </c>
      <c r="L301" s="3">
        <f>157289922/10^8</f>
        <v>1.57289922</v>
      </c>
      <c r="M301" s="3">
        <f>925559668/10^8</f>
        <v>9.25559668</v>
      </c>
      <c r="N301" s="5"/>
    </row>
    <row r="302" spans="1:14" x14ac:dyDescent="0.3">
      <c r="A302" s="7">
        <v>44630.125</v>
      </c>
      <c r="B302" s="7">
        <v>44630.135416666664</v>
      </c>
      <c r="C302" s="3">
        <f>8400538/10^5</f>
        <v>84.005380000000002</v>
      </c>
      <c r="D302" s="3">
        <f>6124503/10^5</f>
        <v>61.24503</v>
      </c>
      <c r="E302" s="3"/>
      <c r="F302" s="3"/>
      <c r="G302" s="3">
        <f>2276035/10^5</f>
        <v>22.760349999999999</v>
      </c>
      <c r="H302" s="3">
        <f>3425999999/10^7</f>
        <v>342.5999999</v>
      </c>
      <c r="I302" s="3">
        <f t="shared" si="21"/>
        <v>342.6</v>
      </c>
      <c r="J302" s="3">
        <f t="shared" si="20"/>
        <v>167.75</v>
      </c>
      <c r="K302" s="3">
        <f>1325606797/10^8</f>
        <v>13.25606797</v>
      </c>
      <c r="L302" s="3">
        <f>139361687/10^8</f>
        <v>1.39361687</v>
      </c>
      <c r="M302" s="3">
        <f>882455406/10^8</f>
        <v>8.8245540600000005</v>
      </c>
      <c r="N302" s="5"/>
    </row>
    <row r="303" spans="1:14" x14ac:dyDescent="0.3">
      <c r="A303" s="7">
        <v>44630.135416666664</v>
      </c>
      <c r="B303" s="7">
        <v>44630.145833333336</v>
      </c>
      <c r="C303" s="3">
        <f>799922/10^4</f>
        <v>79.992199999999997</v>
      </c>
      <c r="D303" s="3">
        <f>592435/10^4</f>
        <v>59.243499999999997</v>
      </c>
      <c r="E303" s="3"/>
      <c r="F303" s="3"/>
      <c r="G303" s="3">
        <f>207487/10^4</f>
        <v>20.748699999999999</v>
      </c>
      <c r="H303" s="3">
        <f>3426/10^1</f>
        <v>342.6</v>
      </c>
      <c r="I303" s="3">
        <f t="shared" si="21"/>
        <v>342.6</v>
      </c>
      <c r="J303" s="3">
        <f t="shared" si="20"/>
        <v>167.75</v>
      </c>
      <c r="K303" s="3">
        <f>1328996404/10^8</f>
        <v>13.289964039999999</v>
      </c>
      <c r="L303" s="3">
        <f>140855841/10^8</f>
        <v>1.4085584099999999</v>
      </c>
      <c r="M303" s="3">
        <f>1041193424/10^8</f>
        <v>10.411934240000001</v>
      </c>
      <c r="N303" s="5"/>
    </row>
    <row r="304" spans="1:14" x14ac:dyDescent="0.3">
      <c r="A304" s="7">
        <v>44630.145833333336</v>
      </c>
      <c r="B304" s="7">
        <v>44630.15625</v>
      </c>
      <c r="C304" s="3">
        <f>4985508/10^5</f>
        <v>49.855080000000001</v>
      </c>
      <c r="D304" s="3">
        <f>349546/10^4</f>
        <v>34.954599999999999</v>
      </c>
      <c r="E304" s="3"/>
      <c r="F304" s="3"/>
      <c r="G304" s="3">
        <f>1490048/10^5</f>
        <v>14.90048</v>
      </c>
      <c r="H304" s="3">
        <f>3422999999/10^7</f>
        <v>342.29999989999999</v>
      </c>
      <c r="I304" s="3">
        <f>3423/10^1</f>
        <v>342.3</v>
      </c>
      <c r="J304" s="3">
        <f t="shared" si="20"/>
        <v>167.75</v>
      </c>
      <c r="K304" s="3">
        <f>1319681927/10^8</f>
        <v>13.196819270000001</v>
      </c>
      <c r="L304" s="3">
        <f>148629754/10^8</f>
        <v>1.48629754</v>
      </c>
      <c r="M304" s="3">
        <f>421171787/10^8</f>
        <v>4.2117178700000002</v>
      </c>
      <c r="N304" s="5"/>
    </row>
    <row r="305" spans="1:14" x14ac:dyDescent="0.3">
      <c r="A305" s="7">
        <v>44630.15625</v>
      </c>
      <c r="B305" s="7">
        <v>44630.166666666664</v>
      </c>
      <c r="C305" s="3">
        <f>9281345/10^5</f>
        <v>92.813450000000003</v>
      </c>
      <c r="D305" s="3">
        <f>6153617/10^5</f>
        <v>61.536169999999998</v>
      </c>
      <c r="E305" s="3"/>
      <c r="F305" s="3"/>
      <c r="G305" s="3">
        <f>3127728/10^5</f>
        <v>31.277280000000001</v>
      </c>
      <c r="H305" s="3">
        <f>3426/10^1</f>
        <v>342.6</v>
      </c>
      <c r="I305" s="3">
        <f>3426/10^1</f>
        <v>342.6</v>
      </c>
      <c r="J305" s="3">
        <f t="shared" si="20"/>
        <v>167.75</v>
      </c>
      <c r="K305" s="3">
        <f>1306318071/10^8</f>
        <v>13.063180709999999</v>
      </c>
      <c r="L305" s="3">
        <f>148115971/10^8</f>
        <v>1.48115971</v>
      </c>
      <c r="M305" s="3">
        <f>908880338/10^8</f>
        <v>9.0888033799999999</v>
      </c>
      <c r="N305" s="5"/>
    </row>
    <row r="306" spans="1:14" x14ac:dyDescent="0.3">
      <c r="A306" s="7">
        <v>44630.166666666664</v>
      </c>
      <c r="B306" s="7">
        <v>44630.177083333336</v>
      </c>
      <c r="C306" s="3">
        <f>9391062/10^5</f>
        <v>93.910619999999994</v>
      </c>
      <c r="D306" s="3">
        <f>6430056/10^5</f>
        <v>64.300560000000004</v>
      </c>
      <c r="E306" s="3"/>
      <c r="F306" s="3"/>
      <c r="G306" s="3">
        <f>2961006/10^5</f>
        <v>29.610060000000001</v>
      </c>
      <c r="H306" s="3">
        <f>3425999999/10^7</f>
        <v>342.5999999</v>
      </c>
      <c r="I306" s="3">
        <f>3426/10^1</f>
        <v>342.6</v>
      </c>
      <c r="J306" s="3">
        <f t="shared" si="20"/>
        <v>167.75</v>
      </c>
      <c r="K306" s="3">
        <f>1314693687/10^8</f>
        <v>13.146936869999999</v>
      </c>
      <c r="L306" s="3">
        <f>148084197/10^8</f>
        <v>1.48084197</v>
      </c>
      <c r="M306" s="3">
        <f>1096302706/10^8</f>
        <v>10.96302706</v>
      </c>
      <c r="N306" s="5"/>
    </row>
    <row r="307" spans="1:14" x14ac:dyDescent="0.3">
      <c r="A307" s="7">
        <v>44630.177083333336</v>
      </c>
      <c r="B307" s="7">
        <v>44630.1875</v>
      </c>
      <c r="C307" s="3">
        <f>93845/10^3</f>
        <v>93.844999999999999</v>
      </c>
      <c r="D307" s="3">
        <f>7169446/10^5</f>
        <v>71.694460000000007</v>
      </c>
      <c r="E307" s="3"/>
      <c r="F307" s="3"/>
      <c r="G307" s="3">
        <f>2215054/10^5</f>
        <v>22.150539999999999</v>
      </c>
      <c r="H307" s="3">
        <f>3426/10^1</f>
        <v>342.6</v>
      </c>
      <c r="I307" s="3">
        <f>3426/10^1</f>
        <v>342.6</v>
      </c>
      <c r="J307" s="3">
        <f t="shared" si="20"/>
        <v>167.75</v>
      </c>
      <c r="K307" s="3">
        <f>1312853655/10^8</f>
        <v>13.12853655</v>
      </c>
      <c r="L307" s="3">
        <f>148430675/10^8</f>
        <v>1.48430675</v>
      </c>
      <c r="M307" s="3">
        <f>136530064/10^7</f>
        <v>13.653006400000001</v>
      </c>
      <c r="N307" s="5"/>
    </row>
    <row r="308" spans="1:14" x14ac:dyDescent="0.3">
      <c r="A308" s="7">
        <v>44630.1875</v>
      </c>
      <c r="B308" s="7">
        <v>44630.197916666664</v>
      </c>
      <c r="C308" s="3">
        <f>5681116/10^5</f>
        <v>56.811160000000001</v>
      </c>
      <c r="D308" s="3">
        <f>2685678/10^5</f>
        <v>26.856780000000001</v>
      </c>
      <c r="E308" s="3"/>
      <c r="F308" s="3"/>
      <c r="G308" s="3">
        <f>2995438/10^5</f>
        <v>29.95438</v>
      </c>
      <c r="H308" s="3">
        <f>3422999998/10^7</f>
        <v>342.29999980000002</v>
      </c>
      <c r="I308" s="3">
        <f>3423/10^1</f>
        <v>342.3</v>
      </c>
      <c r="J308" s="3">
        <f>0/10^0</f>
        <v>0</v>
      </c>
      <c r="K308" s="3">
        <f>1287541049/10^8</f>
        <v>12.87541049</v>
      </c>
      <c r="L308" s="3">
        <f>132856827/10^8</f>
        <v>1.3285682700000001</v>
      </c>
      <c r="M308" s="3">
        <f>871560485/10^8</f>
        <v>8.7156048500000001</v>
      </c>
      <c r="N308" s="5"/>
    </row>
    <row r="309" spans="1:14" x14ac:dyDescent="0.3">
      <c r="A309" s="7">
        <v>44630.197916666664</v>
      </c>
      <c r="B309" s="7">
        <v>44630.208333333336</v>
      </c>
      <c r="C309" s="3">
        <f>9895331/10^5</f>
        <v>98.953310000000002</v>
      </c>
      <c r="D309" s="3">
        <f>3609415/10^5</f>
        <v>36.094149999999999</v>
      </c>
      <c r="E309" s="3"/>
      <c r="F309" s="3"/>
      <c r="G309" s="3">
        <f>6285916/10^5</f>
        <v>62.859160000000003</v>
      </c>
      <c r="H309" s="3">
        <f>3426303332/10^7</f>
        <v>342.6303332</v>
      </c>
      <c r="I309" s="3">
        <f>3426/10^1</f>
        <v>342.6</v>
      </c>
      <c r="J309" s="3">
        <f>0/10^0</f>
        <v>0</v>
      </c>
      <c r="K309" s="3">
        <f>1310117007/10^8</f>
        <v>13.10117007</v>
      </c>
      <c r="L309" s="3">
        <f>129621808/10^8</f>
        <v>1.2962180800000001</v>
      </c>
      <c r="M309" s="3">
        <f>97782327/10^7</f>
        <v>9.7782327000000002</v>
      </c>
      <c r="N309" s="5"/>
    </row>
    <row r="310" spans="1:14" x14ac:dyDescent="0.3">
      <c r="A310" s="7">
        <v>44630.208333333336</v>
      </c>
      <c r="B310" s="7">
        <v>44630.21875</v>
      </c>
      <c r="C310" s="3">
        <f>7000084/10^5</f>
        <v>70.000839999999997</v>
      </c>
      <c r="D310" s="3">
        <f>780429/10^4</f>
        <v>78.042900000000003</v>
      </c>
      <c r="E310" s="3"/>
      <c r="F310" s="3"/>
      <c r="G310" s="3">
        <f>-804206/10^5</f>
        <v>-8.0420599999999993</v>
      </c>
      <c r="H310" s="3">
        <f>1563883343/10^7</f>
        <v>156.3883343</v>
      </c>
      <c r="I310" s="3">
        <f>446/10^0</f>
        <v>446</v>
      </c>
      <c r="J310" s="3">
        <f t="shared" ref="J310:J321" si="22">16775/10^2</f>
        <v>167.75</v>
      </c>
      <c r="K310" s="3">
        <f>1282365332/10^8</f>
        <v>12.82365332</v>
      </c>
      <c r="L310" s="3">
        <f>67225298/10^8</f>
        <v>0.67225298</v>
      </c>
      <c r="M310" s="3">
        <f>1683637689/10^8</f>
        <v>16.83637689</v>
      </c>
      <c r="N310" s="5"/>
    </row>
    <row r="311" spans="1:14" x14ac:dyDescent="0.3">
      <c r="A311" s="7">
        <v>44630.21875</v>
      </c>
      <c r="B311" s="7">
        <v>44630.229166666664</v>
      </c>
      <c r="C311" s="3">
        <f>7082491/10^5</f>
        <v>70.824910000000003</v>
      </c>
      <c r="D311" s="3">
        <f>600945/10^4</f>
        <v>60.094499999999996</v>
      </c>
      <c r="E311" s="3"/>
      <c r="F311" s="3"/>
      <c r="G311" s="3">
        <f>1073041/10^5</f>
        <v>10.730409999999999</v>
      </c>
      <c r="H311" s="3">
        <f>3458764071/10^7</f>
        <v>345.87640709999999</v>
      </c>
      <c r="I311" s="3">
        <f>34571/10^2</f>
        <v>345.71</v>
      </c>
      <c r="J311" s="3">
        <f t="shared" si="22"/>
        <v>167.75</v>
      </c>
      <c r="K311" s="3">
        <f>1218873793/10^8</f>
        <v>12.18873793</v>
      </c>
      <c r="L311" s="3">
        <f>65361497/10^8</f>
        <v>0.65361497000000002</v>
      </c>
      <c r="M311" s="3">
        <f>634243828/10^8</f>
        <v>6.3424382799999997</v>
      </c>
      <c r="N311" s="5"/>
    </row>
    <row r="312" spans="1:14" x14ac:dyDescent="0.3">
      <c r="A312" s="7">
        <v>44630.229166666664</v>
      </c>
      <c r="B312" s="7">
        <v>44630.239583333336</v>
      </c>
      <c r="C312" s="3">
        <f>9319632/10^5</f>
        <v>93.19632</v>
      </c>
      <c r="D312" s="3">
        <f>6865676/10^5</f>
        <v>68.656760000000006</v>
      </c>
      <c r="E312" s="3"/>
      <c r="F312" s="3"/>
      <c r="G312" s="3">
        <f>2453956/10^5</f>
        <v>24.539560000000002</v>
      </c>
      <c r="H312" s="3">
        <f>3458427388/10^7</f>
        <v>345.84273880000001</v>
      </c>
      <c r="I312" s="3">
        <f>34571/10^2</f>
        <v>345.71</v>
      </c>
      <c r="J312" s="3">
        <f t="shared" si="22"/>
        <v>167.75</v>
      </c>
      <c r="K312" s="3">
        <f>1289344927/10^8</f>
        <v>12.89344927</v>
      </c>
      <c r="L312" s="3">
        <f>8705645/10^7</f>
        <v>0.87056449999999996</v>
      </c>
      <c r="M312" s="3">
        <f>115887811/10^7</f>
        <v>11.5887811</v>
      </c>
      <c r="N312" s="5"/>
    </row>
    <row r="313" spans="1:14" x14ac:dyDescent="0.3">
      <c r="A313" s="7">
        <v>44630.239583333336</v>
      </c>
      <c r="B313" s="7">
        <v>44630.25</v>
      </c>
      <c r="C313" s="3">
        <f>11327403/10^5</f>
        <v>113.27403</v>
      </c>
      <c r="D313" s="3">
        <f>7541033/10^5</f>
        <v>75.410330000000002</v>
      </c>
      <c r="E313" s="3"/>
      <c r="F313" s="3"/>
      <c r="G313" s="3">
        <f>378637/10^4</f>
        <v>37.863700000000001</v>
      </c>
      <c r="H313" s="3">
        <f>3466548738/10^7</f>
        <v>346.65487380000002</v>
      </c>
      <c r="I313" s="3">
        <f>34661/10^2</f>
        <v>346.61</v>
      </c>
      <c r="J313" s="3">
        <f t="shared" si="22"/>
        <v>167.75</v>
      </c>
      <c r="K313" s="3">
        <f>1194036338/10^8</f>
        <v>11.940363380000001</v>
      </c>
      <c r="L313" s="3">
        <f>95815392/10^8</f>
        <v>0.95815391999999999</v>
      </c>
      <c r="M313" s="3">
        <f>94299988/10^7</f>
        <v>9.4299987999999999</v>
      </c>
      <c r="N313" s="5"/>
    </row>
    <row r="314" spans="1:14" x14ac:dyDescent="0.3">
      <c r="A314" s="7">
        <v>44630.25</v>
      </c>
      <c r="B314" s="7">
        <v>44630.260416666664</v>
      </c>
      <c r="C314" s="3">
        <f>13541209/10^5</f>
        <v>135.41209000000001</v>
      </c>
      <c r="D314" s="3">
        <f>8972193/10^5</f>
        <v>89.72193</v>
      </c>
      <c r="E314" s="3"/>
      <c r="F314" s="3"/>
      <c r="G314" s="3">
        <f>4569016/10^5</f>
        <v>45.690159999999999</v>
      </c>
      <c r="H314" s="3">
        <f>4227434413/10^7</f>
        <v>422.74344129999997</v>
      </c>
      <c r="I314" s="3">
        <f>4226/10^1</f>
        <v>422.6</v>
      </c>
      <c r="J314" s="3">
        <f t="shared" si="22"/>
        <v>167.75</v>
      </c>
      <c r="K314" s="3">
        <f>1457986897/10^8</f>
        <v>14.57986897</v>
      </c>
      <c r="L314" s="3">
        <f>289542069/10^8</f>
        <v>2.8954206899999999</v>
      </c>
      <c r="M314" s="3">
        <f>4064374356/10^8</f>
        <v>40.643743559999997</v>
      </c>
      <c r="N314" s="5"/>
    </row>
    <row r="315" spans="1:14" x14ac:dyDescent="0.3">
      <c r="A315" s="7">
        <v>44630.260416666664</v>
      </c>
      <c r="B315" s="7">
        <v>44630.270833333336</v>
      </c>
      <c r="C315" s="3">
        <f>8834341/10^5</f>
        <v>88.343410000000006</v>
      </c>
      <c r="D315" s="3">
        <f>5333465/10^5</f>
        <v>53.334650000000003</v>
      </c>
      <c r="E315" s="3"/>
      <c r="F315" s="3"/>
      <c r="G315" s="3">
        <f>3500876/10^5</f>
        <v>35.008760000000002</v>
      </c>
      <c r="H315" s="3">
        <f>4230345013/10^7</f>
        <v>423.03450129999999</v>
      </c>
      <c r="I315" s="3">
        <f>423/10^0</f>
        <v>423</v>
      </c>
      <c r="J315" s="3">
        <f t="shared" si="22"/>
        <v>167.75</v>
      </c>
      <c r="K315" s="3">
        <f>1485055803/10^8</f>
        <v>14.85055803</v>
      </c>
      <c r="L315" s="3">
        <f>273321842/10^8</f>
        <v>2.73321842</v>
      </c>
      <c r="M315" s="3">
        <f>1362196913/10^8</f>
        <v>13.62196913</v>
      </c>
      <c r="N315" s="5"/>
    </row>
    <row r="316" spans="1:14" x14ac:dyDescent="0.3">
      <c r="A316" s="7">
        <v>44630.270833333336</v>
      </c>
      <c r="B316" s="7">
        <v>44630.28125</v>
      </c>
      <c r="C316" s="3">
        <f>11719359/10^5</f>
        <v>117.19359</v>
      </c>
      <c r="D316" s="3">
        <f>6932106/10^5</f>
        <v>69.321060000000003</v>
      </c>
      <c r="E316" s="3"/>
      <c r="F316" s="3"/>
      <c r="G316" s="3">
        <f>4787253/10^5</f>
        <v>47.872529999999998</v>
      </c>
      <c r="H316" s="3">
        <f>4231591923/10^7</f>
        <v>423.15919229999997</v>
      </c>
      <c r="I316" s="3">
        <f>423/10^0</f>
        <v>423</v>
      </c>
      <c r="J316" s="3">
        <f t="shared" si="22"/>
        <v>167.75</v>
      </c>
      <c r="K316" s="3">
        <f>142776492/10^7</f>
        <v>14.277649200000001</v>
      </c>
      <c r="L316" s="3">
        <f>243078094/10^8</f>
        <v>2.43078094</v>
      </c>
      <c r="M316" s="3">
        <f>1190638626/10^8</f>
        <v>11.90638626</v>
      </c>
      <c r="N316" s="5"/>
    </row>
    <row r="317" spans="1:14" x14ac:dyDescent="0.3">
      <c r="A317" s="7">
        <v>44630.28125</v>
      </c>
      <c r="B317" s="7">
        <v>44630.291666666664</v>
      </c>
      <c r="C317" s="3">
        <f>13587852/10^5</f>
        <v>135.87852000000001</v>
      </c>
      <c r="D317" s="3">
        <f>708375/10^4</f>
        <v>70.837500000000006</v>
      </c>
      <c r="E317" s="3"/>
      <c r="F317" s="3"/>
      <c r="G317" s="3">
        <f>6504102/10^5</f>
        <v>65.041020000000003</v>
      </c>
      <c r="H317" s="3">
        <f>4242999999/10^7</f>
        <v>424.29999989999999</v>
      </c>
      <c r="I317" s="3">
        <f>4243/10^1</f>
        <v>424.3</v>
      </c>
      <c r="J317" s="3">
        <f t="shared" si="22"/>
        <v>167.75</v>
      </c>
      <c r="K317" s="3">
        <f>1386311904/10^8</f>
        <v>13.863119040000001</v>
      </c>
      <c r="L317" s="3">
        <f>220042872/10^8</f>
        <v>2.2004287200000001</v>
      </c>
      <c r="M317" s="3">
        <f>1297239749/10^8</f>
        <v>12.972397490000001</v>
      </c>
      <c r="N317" s="5"/>
    </row>
    <row r="318" spans="1:14" x14ac:dyDescent="0.3">
      <c r="A318" s="7">
        <v>44630.291666666664</v>
      </c>
      <c r="B318" s="7">
        <v>44630.302083333336</v>
      </c>
      <c r="C318" s="3">
        <f>11665977/10^5</f>
        <v>116.65976999999999</v>
      </c>
      <c r="D318" s="3">
        <f>5614951/10^5</f>
        <v>56.149509999999999</v>
      </c>
      <c r="E318" s="3"/>
      <c r="F318" s="3"/>
      <c r="G318" s="3">
        <f>6051026/10^5</f>
        <v>60.510260000000002</v>
      </c>
      <c r="H318" s="3">
        <f>4478999999/10^7</f>
        <v>447.89999990000001</v>
      </c>
      <c r="I318" s="3">
        <f>4479/10^1</f>
        <v>447.9</v>
      </c>
      <c r="J318" s="3">
        <f t="shared" si="22"/>
        <v>167.75</v>
      </c>
      <c r="K318" s="3">
        <f>1466362881/10^8</f>
        <v>14.663628810000001</v>
      </c>
      <c r="L318" s="3">
        <f>184997413/10^8</f>
        <v>1.8499741300000001</v>
      </c>
      <c r="M318" s="3">
        <f>1330391849/10^8</f>
        <v>13.303918489999999</v>
      </c>
      <c r="N318" s="5"/>
    </row>
    <row r="319" spans="1:14" x14ac:dyDescent="0.3">
      <c r="A319" s="7">
        <v>44630.302083333336</v>
      </c>
      <c r="B319" s="7">
        <v>44630.3125</v>
      </c>
      <c r="C319" s="3">
        <f>10083538/10^5</f>
        <v>100.83538</v>
      </c>
      <c r="D319" s="3">
        <f>5420135/10^5</f>
        <v>54.201349999999998</v>
      </c>
      <c r="E319" s="3"/>
      <c r="F319" s="3"/>
      <c r="G319" s="3">
        <f>4663403/10^5</f>
        <v>46.634030000000003</v>
      </c>
      <c r="H319" s="3">
        <f>4463224777/10^7</f>
        <v>446.32247769999998</v>
      </c>
      <c r="I319" s="3">
        <f>4462/10^1</f>
        <v>446.2</v>
      </c>
      <c r="J319" s="3">
        <f t="shared" si="22"/>
        <v>167.75</v>
      </c>
      <c r="K319" s="3">
        <f>1460044233/10^8</f>
        <v>14.60044233</v>
      </c>
      <c r="L319" s="3">
        <f>180280062/10^8</f>
        <v>1.80280062</v>
      </c>
      <c r="M319" s="3">
        <f>939940384/10^8</f>
        <v>9.3994038399999997</v>
      </c>
      <c r="N319" s="5"/>
    </row>
    <row r="320" spans="1:14" x14ac:dyDescent="0.3">
      <c r="A320" s="7">
        <v>44630.3125</v>
      </c>
      <c r="B320" s="7">
        <v>44630.322916666664</v>
      </c>
      <c r="C320" s="3">
        <f>10068366/10^5</f>
        <v>100.68366</v>
      </c>
      <c r="D320" s="3">
        <f>438764/10^4</f>
        <v>43.876399999999997</v>
      </c>
      <c r="E320" s="3"/>
      <c r="F320" s="3"/>
      <c r="G320" s="3">
        <f>5680726/10^5</f>
        <v>56.807259999999999</v>
      </c>
      <c r="H320" s="3">
        <f>4463210566/10^7</f>
        <v>446.32105660000002</v>
      </c>
      <c r="I320" s="3">
        <f>4462/10^1</f>
        <v>446.2</v>
      </c>
      <c r="J320" s="3">
        <f t="shared" si="22"/>
        <v>167.75</v>
      </c>
      <c r="K320" s="3">
        <f>1437185708/10^8</f>
        <v>14.37185708</v>
      </c>
      <c r="L320" s="3">
        <f>185329907/10^8</f>
        <v>1.85329907</v>
      </c>
      <c r="M320" s="3">
        <f>977022672/10^8</f>
        <v>9.7702267200000001</v>
      </c>
      <c r="N320" s="5"/>
    </row>
    <row r="321" spans="1:14" x14ac:dyDescent="0.3">
      <c r="A321" s="7">
        <v>44630.322916666664</v>
      </c>
      <c r="B321" s="7">
        <v>44630.333333333336</v>
      </c>
      <c r="C321" s="3">
        <f>10132014/10^5</f>
        <v>101.32013999999999</v>
      </c>
      <c r="D321" s="3">
        <f>4820589/10^5</f>
        <v>48.205889999999997</v>
      </c>
      <c r="E321" s="3"/>
      <c r="F321" s="3"/>
      <c r="G321" s="3">
        <f>5311425/10^5</f>
        <v>53.114249999999998</v>
      </c>
      <c r="H321" s="3">
        <f>4462356323/10^7</f>
        <v>446.23563230000002</v>
      </c>
      <c r="I321" s="3">
        <f>4462/10^1</f>
        <v>446.2</v>
      </c>
      <c r="J321" s="3">
        <f t="shared" si="22"/>
        <v>167.75</v>
      </c>
      <c r="K321" s="3">
        <f>1430138852/10^8</f>
        <v>14.30138852</v>
      </c>
      <c r="L321" s="3">
        <f>182928107/10^8</f>
        <v>1.82928107</v>
      </c>
      <c r="M321" s="3">
        <f>1330794851/10^8</f>
        <v>13.307948509999999</v>
      </c>
      <c r="N321" s="5"/>
    </row>
    <row r="322" spans="1:14" x14ac:dyDescent="0.3">
      <c r="A322" s="7">
        <v>44630.333333333336</v>
      </c>
      <c r="B322" s="7">
        <v>44630.34375</v>
      </c>
      <c r="C322" s="3">
        <f>20330268/10^5</f>
        <v>203.30268000000001</v>
      </c>
      <c r="D322" s="3">
        <f>4461835/10^5</f>
        <v>44.61835</v>
      </c>
      <c r="E322" s="3"/>
      <c r="F322" s="3"/>
      <c r="G322" s="3">
        <f>15868433/10^5</f>
        <v>158.68432999999999</v>
      </c>
      <c r="H322" s="3">
        <f>4030599999/10^7</f>
        <v>403.05999989999998</v>
      </c>
      <c r="I322" s="3">
        <f>40306/10^2</f>
        <v>403.06</v>
      </c>
      <c r="J322" s="3">
        <f>0/10^0</f>
        <v>0</v>
      </c>
      <c r="K322" s="3">
        <f>1215100657/10^8</f>
        <v>12.15100657</v>
      </c>
      <c r="L322" s="3">
        <f>93278734/10^8</f>
        <v>0.93278733999999996</v>
      </c>
      <c r="M322" s="3">
        <f>1034316251/10^8</f>
        <v>10.343162510000001</v>
      </c>
      <c r="N322" s="5"/>
    </row>
    <row r="323" spans="1:14" x14ac:dyDescent="0.3">
      <c r="A323" s="7">
        <v>44630.34375</v>
      </c>
      <c r="B323" s="7">
        <v>44630.354166666664</v>
      </c>
      <c r="C323" s="3">
        <f>21881604/10^5</f>
        <v>218.81603999999999</v>
      </c>
      <c r="D323" s="3">
        <f>4493142/10^5</f>
        <v>44.931420000000003</v>
      </c>
      <c r="E323" s="3"/>
      <c r="F323" s="3"/>
      <c r="G323" s="3">
        <f>17388462/10^5</f>
        <v>173.88462000000001</v>
      </c>
      <c r="H323" s="3">
        <f>4030599999/10^7</f>
        <v>403.05999989999998</v>
      </c>
      <c r="I323" s="3">
        <f>40306/10^2</f>
        <v>403.06</v>
      </c>
      <c r="J323" s="3">
        <f>0/10^0</f>
        <v>0</v>
      </c>
      <c r="K323" s="3">
        <f>1174428128/10^8</f>
        <v>11.744281279999999</v>
      </c>
      <c r="L323" s="3">
        <f>99865082/10^8</f>
        <v>0.99865082000000005</v>
      </c>
      <c r="M323" s="3">
        <f>1253223273/10^8</f>
        <v>12.53223273</v>
      </c>
      <c r="N323" s="5"/>
    </row>
    <row r="324" spans="1:14" x14ac:dyDescent="0.3">
      <c r="A324" s="7">
        <v>44630.354166666664</v>
      </c>
      <c r="B324" s="7">
        <v>44630.364583333336</v>
      </c>
      <c r="C324" s="3">
        <f>18550441/10^5</f>
        <v>185.50441000000001</v>
      </c>
      <c r="D324" s="3">
        <f>4285424/10^5</f>
        <v>42.854239999999997</v>
      </c>
      <c r="E324" s="3"/>
      <c r="F324" s="3"/>
      <c r="G324" s="3">
        <f>14265017/10^5</f>
        <v>142.65017</v>
      </c>
      <c r="H324" s="3">
        <f>4030599999/10^7</f>
        <v>403.05999989999998</v>
      </c>
      <c r="I324" s="3">
        <f>40306/10^2</f>
        <v>403.06</v>
      </c>
      <c r="J324" s="3">
        <f>0/10^0</f>
        <v>0</v>
      </c>
      <c r="K324" s="3">
        <f>117331435/10^7</f>
        <v>11.733143500000001</v>
      </c>
      <c r="L324" s="3">
        <f>115213443/10^8</f>
        <v>1.15213443</v>
      </c>
      <c r="M324" s="3">
        <f>1240098277/10^8</f>
        <v>12.400982770000001</v>
      </c>
      <c r="N324" s="5"/>
    </row>
    <row r="325" spans="1:14" x14ac:dyDescent="0.3">
      <c r="A325" s="7">
        <v>44630.364583333336</v>
      </c>
      <c r="B325" s="7">
        <v>44630.375</v>
      </c>
      <c r="C325" s="3">
        <f>18310671/10^5</f>
        <v>183.10670999999999</v>
      </c>
      <c r="D325" s="3">
        <f>45624/10^3</f>
        <v>45.624000000000002</v>
      </c>
      <c r="E325" s="3"/>
      <c r="F325" s="3"/>
      <c r="G325" s="3">
        <f>13748271/10^5</f>
        <v>137.48271</v>
      </c>
      <c r="H325" s="3">
        <f>4030599999/10^7</f>
        <v>403.05999989999998</v>
      </c>
      <c r="I325" s="3">
        <f>40306/10^2</f>
        <v>403.06</v>
      </c>
      <c r="J325" s="3">
        <f>0/10^0</f>
        <v>0</v>
      </c>
      <c r="K325" s="3">
        <f>1120339248/10^8</f>
        <v>11.20339248</v>
      </c>
      <c r="L325" s="3">
        <f>118501055/10^8</f>
        <v>1.1850105500000001</v>
      </c>
      <c r="M325" s="3">
        <f>1642580204/10^8</f>
        <v>16.425802040000001</v>
      </c>
      <c r="N325" s="5"/>
    </row>
    <row r="326" spans="1:14" x14ac:dyDescent="0.3">
      <c r="A326" s="7">
        <v>44630.375</v>
      </c>
      <c r="B326" s="7">
        <v>44630.385416666664</v>
      </c>
      <c r="C326" s="3">
        <f>18260147/10^5</f>
        <v>182.60147000000001</v>
      </c>
      <c r="D326" s="3">
        <f>7526905/10^5</f>
        <v>75.269049999999993</v>
      </c>
      <c r="E326" s="3"/>
      <c r="F326" s="3"/>
      <c r="G326" s="3">
        <f>10733242/10^5</f>
        <v>107.33242</v>
      </c>
      <c r="H326" s="3">
        <f>3798999999/10^7</f>
        <v>379.89999990000001</v>
      </c>
      <c r="I326" s="3">
        <f>3799/10^1</f>
        <v>379.9</v>
      </c>
      <c r="J326" s="3">
        <f>17489/10^2</f>
        <v>174.89</v>
      </c>
      <c r="K326" s="3">
        <f>907633274/10^8</f>
        <v>9.0763327399999998</v>
      </c>
      <c r="L326" s="3">
        <f>109510619/10^8</f>
        <v>1.0951061900000001</v>
      </c>
      <c r="M326" s="3">
        <f>27581148/10^8</f>
        <v>0.27581148</v>
      </c>
      <c r="N326" s="5"/>
    </row>
    <row r="327" spans="1:14" x14ac:dyDescent="0.3">
      <c r="A327" s="7">
        <v>44630.385416666664</v>
      </c>
      <c r="B327" s="7">
        <v>44630.395833333336</v>
      </c>
      <c r="C327" s="3">
        <f>21330773/10^5</f>
        <v>213.30772999999999</v>
      </c>
      <c r="D327" s="3">
        <f>5306633/10^5</f>
        <v>53.066330000000001</v>
      </c>
      <c r="E327" s="3"/>
      <c r="F327" s="3"/>
      <c r="G327" s="3">
        <f>1602414/10^4</f>
        <v>160.2414</v>
      </c>
      <c r="H327" s="3">
        <f>3798999999/10^7</f>
        <v>379.89999990000001</v>
      </c>
      <c r="I327" s="3">
        <f>3799/10^1</f>
        <v>379.9</v>
      </c>
      <c r="J327" s="3">
        <f>0/10^0</f>
        <v>0</v>
      </c>
      <c r="K327" s="3">
        <f>905604162/10^8</f>
        <v>9.0560416200000002</v>
      </c>
      <c r="L327" s="3">
        <f>109237446/10^8</f>
        <v>1.09237446</v>
      </c>
      <c r="M327" s="3">
        <f>1345804564/10^8</f>
        <v>13.45804564</v>
      </c>
      <c r="N327" s="5"/>
    </row>
    <row r="328" spans="1:14" x14ac:dyDescent="0.3">
      <c r="A328" s="7">
        <v>44630.395833333336</v>
      </c>
      <c r="B328" s="7">
        <v>44630.40625</v>
      </c>
      <c r="C328" s="3">
        <f>21859045/10^5</f>
        <v>218.59045</v>
      </c>
      <c r="D328" s="3">
        <f>7382135/10^5</f>
        <v>73.821349999999995</v>
      </c>
      <c r="E328" s="3"/>
      <c r="F328" s="3"/>
      <c r="G328" s="3">
        <f>1447691/10^4</f>
        <v>144.76910000000001</v>
      </c>
      <c r="H328" s="3">
        <f>4470099999/10^7</f>
        <v>447.00999990000003</v>
      </c>
      <c r="I328" s="3">
        <f>44701/10^2</f>
        <v>447.01</v>
      </c>
      <c r="J328" s="3">
        <f>0/10^0</f>
        <v>0</v>
      </c>
      <c r="K328" s="3">
        <f>881034971/10^8</f>
        <v>8.8103497100000006</v>
      </c>
      <c r="L328" s="3">
        <f>115149685/10^8</f>
        <v>1.15149685</v>
      </c>
      <c r="M328" s="3">
        <f>2054116636/10^8</f>
        <v>20.541166359999998</v>
      </c>
      <c r="N328" s="5"/>
    </row>
    <row r="329" spans="1:14" x14ac:dyDescent="0.3">
      <c r="A329" s="7">
        <v>44630.40625</v>
      </c>
      <c r="B329" s="7">
        <v>44630.416666666664</v>
      </c>
      <c r="C329" s="3">
        <f>20576346/10^5</f>
        <v>205.76346000000001</v>
      </c>
      <c r="D329" s="3">
        <f>6045185/10^5</f>
        <v>60.45185</v>
      </c>
      <c r="E329" s="3"/>
      <c r="F329" s="3"/>
      <c r="G329" s="3">
        <f>14531161/10^5</f>
        <v>145.31161</v>
      </c>
      <c r="H329" s="3">
        <f>380082709/10^6</f>
        <v>380.08270900000002</v>
      </c>
      <c r="I329" s="3">
        <f>37989/10^2</f>
        <v>379.89</v>
      </c>
      <c r="J329" s="3">
        <f>172/10^0</f>
        <v>172</v>
      </c>
      <c r="K329" s="3">
        <f>879978026/10^8</f>
        <v>8.7997802600000004</v>
      </c>
      <c r="L329" s="3">
        <f>112356501/10^8</f>
        <v>1.1235650100000001</v>
      </c>
      <c r="M329" s="3">
        <f>865082485/10^8</f>
        <v>8.6508248499999993</v>
      </c>
      <c r="N329" s="5"/>
    </row>
    <row r="330" spans="1:14" x14ac:dyDescent="0.3">
      <c r="A330" s="7">
        <v>44630.416666666664</v>
      </c>
      <c r="B330" s="7">
        <v>44630.427083333336</v>
      </c>
      <c r="C330" s="3">
        <f>18780876/10^5</f>
        <v>187.80876000000001</v>
      </c>
      <c r="D330" s="3">
        <f>2910813/10^5</f>
        <v>29.108129999999999</v>
      </c>
      <c r="E330" s="3"/>
      <c r="F330" s="3"/>
      <c r="G330" s="3">
        <f>15870063/10^5</f>
        <v>158.70062999999999</v>
      </c>
      <c r="H330" s="3">
        <f>3509543591/10^7</f>
        <v>350.95435909999998</v>
      </c>
      <c r="I330" s="3">
        <f>34977/10^2</f>
        <v>349.77</v>
      </c>
      <c r="J330" s="3">
        <f>124/10^0</f>
        <v>124</v>
      </c>
      <c r="K330" s="3">
        <f>69141262/10^7</f>
        <v>6.9141262000000001</v>
      </c>
      <c r="L330" s="3">
        <f>50706174/10^8</f>
        <v>0.50706174000000004</v>
      </c>
      <c r="M330" s="3">
        <f>679986258/10^8</f>
        <v>6.7998625800000001</v>
      </c>
      <c r="N330" s="5"/>
    </row>
    <row r="331" spans="1:14" x14ac:dyDescent="0.3">
      <c r="A331" s="7">
        <v>44630.427083333336</v>
      </c>
      <c r="B331" s="7">
        <v>44630.4375</v>
      </c>
      <c r="C331" s="3">
        <f>21994086/10^5</f>
        <v>219.94085999999999</v>
      </c>
      <c r="D331" s="3">
        <f>7823076/10^5</f>
        <v>78.230760000000004</v>
      </c>
      <c r="E331" s="3"/>
      <c r="F331" s="3"/>
      <c r="G331" s="3">
        <f>1417101/10^4</f>
        <v>141.71010000000001</v>
      </c>
      <c r="H331" s="3">
        <f>3991327505/10^7</f>
        <v>399.13275049999999</v>
      </c>
      <c r="I331" s="3">
        <f>399/10^0</f>
        <v>399</v>
      </c>
      <c r="J331" s="3">
        <f>124/10^0</f>
        <v>124</v>
      </c>
      <c r="K331" s="3">
        <f>678145626/10^8</f>
        <v>6.7814562599999997</v>
      </c>
      <c r="L331" s="3">
        <f>50779711/10^8</f>
        <v>0.50779711000000005</v>
      </c>
      <c r="M331" s="3">
        <f>142392248/10^7</f>
        <v>14.239224800000001</v>
      </c>
      <c r="N331" s="5"/>
    </row>
    <row r="332" spans="1:14" x14ac:dyDescent="0.3">
      <c r="A332" s="7">
        <v>44630.4375</v>
      </c>
      <c r="B332" s="7">
        <v>44630.447916666664</v>
      </c>
      <c r="C332" s="3">
        <f>20812629/10^5</f>
        <v>208.12629000000001</v>
      </c>
      <c r="D332" s="3">
        <f>5763195/10^5</f>
        <v>57.631950000000003</v>
      </c>
      <c r="E332" s="3"/>
      <c r="F332" s="3"/>
      <c r="G332" s="3">
        <f>15049434/10^5</f>
        <v>150.49433999999999</v>
      </c>
      <c r="H332" s="3">
        <f>4470199999/10^7</f>
        <v>447.01999990000002</v>
      </c>
      <c r="I332" s="3">
        <f>44702/10^2</f>
        <v>447.02</v>
      </c>
      <c r="J332" s="3">
        <f>0/10^0</f>
        <v>0</v>
      </c>
      <c r="K332" s="3">
        <f>6677374/10^6</f>
        <v>6.6773740000000004</v>
      </c>
      <c r="L332" s="3">
        <f>65627641/10^8</f>
        <v>0.65627641000000003</v>
      </c>
      <c r="M332" s="3">
        <f>1220440728/10^8</f>
        <v>12.20440728</v>
      </c>
      <c r="N332" s="5"/>
    </row>
    <row r="333" spans="1:14" x14ac:dyDescent="0.3">
      <c r="A333" s="7">
        <v>44630.447916666664</v>
      </c>
      <c r="B333" s="7">
        <v>44630.458333333336</v>
      </c>
      <c r="C333" s="3">
        <f>21822031/10^5</f>
        <v>218.22031000000001</v>
      </c>
      <c r="D333" s="3">
        <f>5740378/10^5</f>
        <v>57.403779999999998</v>
      </c>
      <c r="E333" s="3"/>
      <c r="F333" s="3"/>
      <c r="G333" s="3">
        <f>16081653/10^5</f>
        <v>160.81653</v>
      </c>
      <c r="H333" s="3">
        <f>4470200179/10^7</f>
        <v>447.02001790000003</v>
      </c>
      <c r="I333" s="3">
        <f>44702/10^2</f>
        <v>447.02</v>
      </c>
      <c r="J333" s="3">
        <f>17234/10^2</f>
        <v>172.34</v>
      </c>
      <c r="K333" s="3">
        <f>666245723/10^8</f>
        <v>6.6624572300000002</v>
      </c>
      <c r="L333" s="3">
        <f>6505803/10^7</f>
        <v>0.6505803</v>
      </c>
      <c r="M333" s="3">
        <f>819266911/10^8</f>
        <v>8.1926691100000006</v>
      </c>
      <c r="N333" s="5"/>
    </row>
    <row r="334" spans="1:14" x14ac:dyDescent="0.3">
      <c r="A334" s="7">
        <v>44630.458333333336</v>
      </c>
      <c r="B334" s="7">
        <v>44630.46875</v>
      </c>
      <c r="C334" s="3">
        <f>16416895/10^5</f>
        <v>164.16895</v>
      </c>
      <c r="D334" s="3">
        <f>2854035/10^5</f>
        <v>28.54035</v>
      </c>
      <c r="E334" s="3"/>
      <c r="F334" s="3"/>
      <c r="G334" s="3">
        <f>1356286/10^4</f>
        <v>135.62860000000001</v>
      </c>
      <c r="H334" s="3">
        <f>353902493/10^6</f>
        <v>353.90249299999999</v>
      </c>
      <c r="I334" s="3">
        <f>34977/10^2</f>
        <v>349.77</v>
      </c>
      <c r="J334" s="3">
        <f>0/10^0</f>
        <v>0</v>
      </c>
      <c r="K334" s="3">
        <f>645935112/10^8</f>
        <v>6.45935112</v>
      </c>
      <c r="L334" s="3">
        <f>104839126/10^8</f>
        <v>1.04839126</v>
      </c>
      <c r="M334" s="3">
        <f>680934239/10^8</f>
        <v>6.8093423900000003</v>
      </c>
      <c r="N334" s="5"/>
    </row>
    <row r="335" spans="1:14" x14ac:dyDescent="0.3">
      <c r="A335" s="7">
        <v>44630.46875</v>
      </c>
      <c r="B335" s="7">
        <v>44630.479166666664</v>
      </c>
      <c r="C335" s="3">
        <f>18659997/10^5</f>
        <v>186.59997000000001</v>
      </c>
      <c r="D335" s="3">
        <f>3528014/10^5</f>
        <v>35.280140000000003</v>
      </c>
      <c r="E335" s="3"/>
      <c r="F335" s="3"/>
      <c r="G335" s="3">
        <f>15131983/10^5</f>
        <v>151.31983</v>
      </c>
      <c r="H335" s="3">
        <f>4470099999/10^7</f>
        <v>447.00999990000003</v>
      </c>
      <c r="I335" s="3">
        <f>44701/10^2</f>
        <v>447.01</v>
      </c>
      <c r="J335" s="3">
        <f>0/10^0</f>
        <v>0</v>
      </c>
      <c r="K335" s="3">
        <f>580823684/10^8</f>
        <v>5.8082368400000002</v>
      </c>
      <c r="L335" s="3">
        <f>10503994/10^7</f>
        <v>1.0503994000000001</v>
      </c>
      <c r="M335" s="3">
        <f>1033588953/10^8</f>
        <v>10.335889529999999</v>
      </c>
      <c r="N335" s="5"/>
    </row>
    <row r="336" spans="1:14" x14ac:dyDescent="0.3">
      <c r="A336" s="7">
        <v>44630.479166666664</v>
      </c>
      <c r="B336" s="7">
        <v>44630.489583333336</v>
      </c>
      <c r="C336" s="3">
        <f>18051097/10^5</f>
        <v>180.51096999999999</v>
      </c>
      <c r="D336" s="3">
        <f>1175619/10^5</f>
        <v>11.75619</v>
      </c>
      <c r="E336" s="3"/>
      <c r="F336" s="3"/>
      <c r="G336" s="3">
        <f>16875478/10^5</f>
        <v>168.75478000000001</v>
      </c>
      <c r="H336" s="3">
        <f>349782433/10^6</f>
        <v>349.78243300000003</v>
      </c>
      <c r="I336" s="3">
        <f>34977/10^2</f>
        <v>349.77</v>
      </c>
      <c r="J336" s="3">
        <f>0/10^0</f>
        <v>0</v>
      </c>
      <c r="K336" s="3">
        <f>611516922/10^8</f>
        <v>6.1151692200000003</v>
      </c>
      <c r="L336" s="3">
        <f>10610112/10^7</f>
        <v>1.0610112</v>
      </c>
      <c r="M336" s="3">
        <f>246470118/10^8</f>
        <v>2.46470118</v>
      </c>
      <c r="N336" s="5"/>
    </row>
    <row r="337" spans="1:14" x14ac:dyDescent="0.3">
      <c r="A337" s="7">
        <v>44630.489583333336</v>
      </c>
      <c r="B337" s="7">
        <v>44630.5</v>
      </c>
      <c r="C337" s="3">
        <f>19192498/10^5</f>
        <v>191.92498000000001</v>
      </c>
      <c r="D337" s="3">
        <f>971901/10^5</f>
        <v>9.7190100000000008</v>
      </c>
      <c r="E337" s="3"/>
      <c r="F337" s="3"/>
      <c r="G337" s="3">
        <f>18220597/10^5</f>
        <v>182.20597000000001</v>
      </c>
      <c r="H337" s="3">
        <f>3499116394/10^7</f>
        <v>349.91163940000001</v>
      </c>
      <c r="I337" s="3">
        <f>34983/10^2</f>
        <v>349.83</v>
      </c>
      <c r="J337" s="3">
        <f>0/10^0</f>
        <v>0</v>
      </c>
      <c r="K337" s="3">
        <f>640122299/10^8</f>
        <v>6.4012229899999999</v>
      </c>
      <c r="L337" s="3">
        <f>104931285/10^8</f>
        <v>1.04931285</v>
      </c>
      <c r="M337" s="3">
        <f>186065958/10^8</f>
        <v>1.8606595800000001</v>
      </c>
      <c r="N337" s="5"/>
    </row>
    <row r="338" spans="1:14" x14ac:dyDescent="0.3">
      <c r="A338" s="7">
        <v>44630.5</v>
      </c>
      <c r="B338" s="7">
        <v>44630.510416666664</v>
      </c>
      <c r="C338" s="3">
        <f>19655012/10^5</f>
        <v>196.55011999999999</v>
      </c>
      <c r="D338" s="3">
        <f>999771/10^5</f>
        <v>9.9977099999999997</v>
      </c>
      <c r="E338" s="3"/>
      <c r="F338" s="3"/>
      <c r="G338" s="3">
        <f>18655241/10^5</f>
        <v>186.55241000000001</v>
      </c>
      <c r="H338" s="3">
        <f>3499467849/10^7</f>
        <v>349.94678490000001</v>
      </c>
      <c r="I338" s="3">
        <f>34986/10^2</f>
        <v>349.86</v>
      </c>
      <c r="J338" s="3">
        <f>172/10^0</f>
        <v>172</v>
      </c>
      <c r="K338" s="3">
        <f>681702865/10^8</f>
        <v>6.8170286500000001</v>
      </c>
      <c r="L338" s="3">
        <f>105179543/10^8</f>
        <v>1.0517954300000001</v>
      </c>
      <c r="M338" s="3">
        <f>54154315/10^8</f>
        <v>0.54154314999999997</v>
      </c>
      <c r="N338" s="5"/>
    </row>
    <row r="339" spans="1:14" x14ac:dyDescent="0.3">
      <c r="A339" s="7">
        <v>44630.510416666664</v>
      </c>
      <c r="B339" s="7">
        <v>44630.520833333336</v>
      </c>
      <c r="C339" s="3">
        <f>20933545/10^5</f>
        <v>209.33545000000001</v>
      </c>
      <c r="D339" s="3">
        <f>760395/10^5</f>
        <v>7.6039500000000002</v>
      </c>
      <c r="E339" s="3"/>
      <c r="F339" s="3"/>
      <c r="G339" s="3">
        <f>2017315/10^4</f>
        <v>201.73150000000001</v>
      </c>
      <c r="H339" s="3">
        <f>3499421639/10^7</f>
        <v>349.94216390000003</v>
      </c>
      <c r="I339" s="3">
        <f>34983/10^2</f>
        <v>349.83</v>
      </c>
      <c r="J339" s="3">
        <f>172/10^0</f>
        <v>172</v>
      </c>
      <c r="K339" s="3">
        <f>716560647/10^8</f>
        <v>7.1656064700000002</v>
      </c>
      <c r="L339" s="3">
        <f>105272508/10^8</f>
        <v>1.0527250800000001</v>
      </c>
      <c r="M339" s="3">
        <f>73078192/10^8</f>
        <v>0.73078191999999997</v>
      </c>
      <c r="N339" s="5"/>
    </row>
    <row r="340" spans="1:14" x14ac:dyDescent="0.3">
      <c r="A340" s="7">
        <v>44630.520833333336</v>
      </c>
      <c r="B340" s="7">
        <v>44630.53125</v>
      </c>
      <c r="C340" s="3">
        <f>22684729/10^5</f>
        <v>226.84728999999999</v>
      </c>
      <c r="D340" s="3">
        <f>1961694/10^5</f>
        <v>19.61694</v>
      </c>
      <c r="E340" s="3"/>
      <c r="F340" s="3"/>
      <c r="G340" s="3">
        <f>20723035/10^5</f>
        <v>207.23034999999999</v>
      </c>
      <c r="H340" s="3">
        <f>3719025612/10^7</f>
        <v>371.90256119999998</v>
      </c>
      <c r="I340" s="3">
        <f>37177/10^2</f>
        <v>371.77</v>
      </c>
      <c r="J340" s="3">
        <f>172/10^0</f>
        <v>172</v>
      </c>
      <c r="K340" s="3">
        <f>754774012/10^8</f>
        <v>7.5477401200000003</v>
      </c>
      <c r="L340" s="3">
        <f>119573635/10^8</f>
        <v>1.19573635</v>
      </c>
      <c r="M340" s="3">
        <f>200465767/10^8</f>
        <v>2.0046576699999998</v>
      </c>
      <c r="N340" s="5"/>
    </row>
    <row r="341" spans="1:14" x14ac:dyDescent="0.3">
      <c r="A341" s="7">
        <v>44630.53125</v>
      </c>
      <c r="B341" s="7">
        <v>44630.541666666664</v>
      </c>
      <c r="C341" s="3">
        <f>2203453/10^4</f>
        <v>220.34530000000001</v>
      </c>
      <c r="D341" s="3">
        <f>496053/10^5</f>
        <v>4.9605300000000003</v>
      </c>
      <c r="E341" s="3"/>
      <c r="F341" s="3"/>
      <c r="G341" s="3">
        <f>21538477/10^5</f>
        <v>215.38477</v>
      </c>
      <c r="H341" s="3">
        <f>3504388457/10^7</f>
        <v>350.4388457</v>
      </c>
      <c r="I341" s="3">
        <f>34986/10^2</f>
        <v>349.86</v>
      </c>
      <c r="J341" s="3">
        <f>172/10^0</f>
        <v>172</v>
      </c>
      <c r="K341" s="3">
        <f>771280449/10^8</f>
        <v>7.7128044899999999</v>
      </c>
      <c r="L341" s="3">
        <f>11938789/10^7</f>
        <v>1.1938789000000001</v>
      </c>
      <c r="M341" s="3">
        <f>67670582/10^8</f>
        <v>0.67670582000000001</v>
      </c>
      <c r="N341" s="5"/>
    </row>
    <row r="342" spans="1:14" x14ac:dyDescent="0.3">
      <c r="A342" s="7">
        <v>44630.541666666664</v>
      </c>
      <c r="B342" s="7">
        <v>44630.552083333336</v>
      </c>
      <c r="C342" s="3">
        <f>23607699/10^5</f>
        <v>236.07699</v>
      </c>
      <c r="D342" s="3">
        <f>2557102/10^5</f>
        <v>25.571020000000001</v>
      </c>
      <c r="E342" s="3"/>
      <c r="F342" s="3"/>
      <c r="G342" s="3">
        <f>21050597/10^5</f>
        <v>210.50596999999999</v>
      </c>
      <c r="H342" s="3">
        <f>4470200081/10^7</f>
        <v>447.02000809999998</v>
      </c>
      <c r="I342" s="3">
        <f>44702/10^2</f>
        <v>447.02</v>
      </c>
      <c r="J342" s="3">
        <f>0/10^0</f>
        <v>0</v>
      </c>
      <c r="K342" s="3">
        <f>68116635/10^7</f>
        <v>6.8116634999999999</v>
      </c>
      <c r="L342" s="3">
        <f>118136965/10^8</f>
        <v>1.1813696499999999</v>
      </c>
      <c r="M342" s="3">
        <f>628988364/10^8</f>
        <v>6.2898836400000002</v>
      </c>
      <c r="N342" s="5"/>
    </row>
    <row r="343" spans="1:14" x14ac:dyDescent="0.3">
      <c r="A343" s="7">
        <v>44630.552083333336</v>
      </c>
      <c r="B343" s="7">
        <v>44630.5625</v>
      </c>
      <c r="C343" s="3">
        <f>21894492/10^5</f>
        <v>218.94492</v>
      </c>
      <c r="D343" s="3">
        <f>2200751/10^5</f>
        <v>22.00751</v>
      </c>
      <c r="E343" s="3"/>
      <c r="F343" s="3"/>
      <c r="G343" s="3">
        <f>19693741/10^5</f>
        <v>196.93741</v>
      </c>
      <c r="H343" s="3">
        <f>3516386292/10^7</f>
        <v>351.63862920000003</v>
      </c>
      <c r="I343" s="3">
        <f>34974/10^2</f>
        <v>349.74</v>
      </c>
      <c r="J343" s="3">
        <f>0/10^0</f>
        <v>0</v>
      </c>
      <c r="K343" s="3">
        <f>652478847/10^8</f>
        <v>6.5247884699999998</v>
      </c>
      <c r="L343" s="3">
        <f>119187028/10^8</f>
        <v>1.1918702800000001</v>
      </c>
      <c r="M343" s="3">
        <f>393629332/10^8</f>
        <v>3.9362933199999999</v>
      </c>
      <c r="N343" s="5"/>
    </row>
    <row r="344" spans="1:14" x14ac:dyDescent="0.3">
      <c r="A344" s="7">
        <v>44630.5625</v>
      </c>
      <c r="B344" s="7">
        <v>44630.572916666664</v>
      </c>
      <c r="C344" s="3">
        <f>20598957/10^5</f>
        <v>205.98956999999999</v>
      </c>
      <c r="D344" s="3">
        <f>454467/10^5</f>
        <v>4.54467</v>
      </c>
      <c r="E344" s="3"/>
      <c r="F344" s="3"/>
      <c r="G344" s="3">
        <f>2014449/10^4</f>
        <v>201.44489999999999</v>
      </c>
      <c r="H344" s="3">
        <f>3497872908/10^7</f>
        <v>349.78729079999999</v>
      </c>
      <c r="I344" s="3">
        <f>34977/10^2</f>
        <v>349.77</v>
      </c>
      <c r="J344" s="3">
        <f>0/10^0</f>
        <v>0</v>
      </c>
      <c r="K344" s="3">
        <f>720626128/10^8</f>
        <v>7.2062612799999997</v>
      </c>
      <c r="L344" s="3">
        <f>120122739/10^8</f>
        <v>1.2012273899999999</v>
      </c>
      <c r="M344" s="3">
        <f>63937283/10^8</f>
        <v>0.63937283</v>
      </c>
      <c r="N344" s="5"/>
    </row>
    <row r="345" spans="1:14" x14ac:dyDescent="0.3">
      <c r="A345" s="7">
        <v>44630.572916666664</v>
      </c>
      <c r="B345" s="7">
        <v>44630.583333333336</v>
      </c>
      <c r="C345" s="3">
        <f>21598729/10^5</f>
        <v>215.98729</v>
      </c>
      <c r="D345" s="3">
        <f>270347/10^5</f>
        <v>2.7034699999999998</v>
      </c>
      <c r="E345" s="3"/>
      <c r="F345" s="3"/>
      <c r="G345" s="3">
        <f>21328382/10^5</f>
        <v>213.28381999999999</v>
      </c>
      <c r="H345" s="3">
        <f>350095768/10^6</f>
        <v>350.09576800000002</v>
      </c>
      <c r="I345" s="3">
        <f>34977/10^2</f>
        <v>349.77</v>
      </c>
      <c r="J345" s="3">
        <f>0/10^0</f>
        <v>0</v>
      </c>
      <c r="K345" s="3">
        <f>699651802/10^8</f>
        <v>6.9965180199999999</v>
      </c>
      <c r="L345" s="3">
        <f>121911909/10^8</f>
        <v>1.21911909</v>
      </c>
      <c r="M345" s="3">
        <f>84255816/10^8</f>
        <v>0.84255815999999994</v>
      </c>
      <c r="N345" s="5"/>
    </row>
    <row r="346" spans="1:14" x14ac:dyDescent="0.3">
      <c r="A346" s="7">
        <v>44630.583333333336</v>
      </c>
      <c r="B346" s="7">
        <v>44630.59375</v>
      </c>
      <c r="C346" s="3">
        <f>23869018/10^5</f>
        <v>238.69018</v>
      </c>
      <c r="D346" s="3">
        <f>3269988/10^5</f>
        <v>32.69988</v>
      </c>
      <c r="E346" s="3"/>
      <c r="F346" s="3"/>
      <c r="G346" s="3">
        <f>2059903/10^4</f>
        <v>205.99029999999999</v>
      </c>
      <c r="H346" s="3">
        <f>3501938432/10^7</f>
        <v>350.1938432</v>
      </c>
      <c r="I346" s="3">
        <f>3498/10^1</f>
        <v>349.8</v>
      </c>
      <c r="J346" s="3">
        <f t="shared" ref="J346:J353" si="23">16775/10^2</f>
        <v>167.75</v>
      </c>
      <c r="K346" s="3">
        <f>754051661/10^8</f>
        <v>7.5405166100000001</v>
      </c>
      <c r="L346" s="3">
        <f>186207267/10^8</f>
        <v>1.8620726700000001</v>
      </c>
      <c r="M346" s="3">
        <f>207501427/10^8</f>
        <v>2.07501427</v>
      </c>
      <c r="N346" s="5"/>
    </row>
    <row r="347" spans="1:14" x14ac:dyDescent="0.3">
      <c r="A347" s="7">
        <v>44630.59375</v>
      </c>
      <c r="B347" s="7">
        <v>44630.604166666664</v>
      </c>
      <c r="C347" s="3">
        <f>24279324/10^5</f>
        <v>242.79324</v>
      </c>
      <c r="D347" s="3">
        <f>2690915/10^5</f>
        <v>26.90915</v>
      </c>
      <c r="E347" s="3"/>
      <c r="F347" s="3"/>
      <c r="G347" s="3">
        <f>21588409/10^5</f>
        <v>215.88408999999999</v>
      </c>
      <c r="H347" s="3">
        <f>3508367578/10^7</f>
        <v>350.83675779999999</v>
      </c>
      <c r="I347" s="3">
        <f>3498/10^1</f>
        <v>349.8</v>
      </c>
      <c r="J347" s="3">
        <f t="shared" si="23"/>
        <v>167.75</v>
      </c>
      <c r="K347" s="3">
        <f>729966188/10^8</f>
        <v>7.2996618800000004</v>
      </c>
      <c r="L347" s="3">
        <f>191897766/10^8</f>
        <v>1.9189776599999999</v>
      </c>
      <c r="M347" s="3">
        <f>33309312/10^7</f>
        <v>3.3309312000000002</v>
      </c>
      <c r="N347" s="5"/>
    </row>
    <row r="348" spans="1:14" x14ac:dyDescent="0.3">
      <c r="A348" s="7">
        <v>44630.604166666664</v>
      </c>
      <c r="B348" s="7">
        <v>44630.614583333336</v>
      </c>
      <c r="C348" s="3">
        <f>25375297/10^5</f>
        <v>253.75297</v>
      </c>
      <c r="D348" s="3">
        <f>7424608/10^5</f>
        <v>74.246080000000006</v>
      </c>
      <c r="E348" s="3"/>
      <c r="F348" s="3"/>
      <c r="G348" s="3">
        <f>17950689/10^5</f>
        <v>179.50689</v>
      </c>
      <c r="H348" s="3">
        <f>3499902324/10^7</f>
        <v>349.99023240000002</v>
      </c>
      <c r="I348" s="3">
        <f>34977/10^2</f>
        <v>349.77</v>
      </c>
      <c r="J348" s="3">
        <f t="shared" si="23"/>
        <v>167.75</v>
      </c>
      <c r="K348" s="3">
        <f>700226171/10^8</f>
        <v>7.00226171</v>
      </c>
      <c r="L348" s="3">
        <f>172520869/10^8</f>
        <v>1.7252086900000001</v>
      </c>
      <c r="M348" s="3">
        <f>711353991/10^8</f>
        <v>7.1135399100000001</v>
      </c>
      <c r="N348" s="5"/>
    </row>
    <row r="349" spans="1:14" x14ac:dyDescent="0.3">
      <c r="A349" s="7">
        <v>44630.614583333336</v>
      </c>
      <c r="B349" s="7">
        <v>44630.625</v>
      </c>
      <c r="C349" s="3">
        <f>19881369/10^5</f>
        <v>198.81369000000001</v>
      </c>
      <c r="D349" s="3">
        <f>3755036/10^5</f>
        <v>37.550359999999998</v>
      </c>
      <c r="E349" s="3"/>
      <c r="F349" s="3"/>
      <c r="G349" s="3">
        <f>16126333/10^5</f>
        <v>161.26333</v>
      </c>
      <c r="H349" s="3">
        <f>3402078539/10^7</f>
        <v>340.20785389999998</v>
      </c>
      <c r="I349" s="3">
        <f>33948/10^2</f>
        <v>339.48</v>
      </c>
      <c r="J349" s="3">
        <f t="shared" si="23"/>
        <v>167.75</v>
      </c>
      <c r="K349" s="3">
        <f>708042884/10^8</f>
        <v>7.0804288399999997</v>
      </c>
      <c r="L349" s="3">
        <f>176222961/10^8</f>
        <v>1.7622296099999999</v>
      </c>
      <c r="M349" s="3">
        <f>393855272/10^8</f>
        <v>3.9385527200000001</v>
      </c>
      <c r="N349" s="5"/>
    </row>
    <row r="350" spans="1:14" x14ac:dyDescent="0.3">
      <c r="A350" s="7">
        <v>44630.625</v>
      </c>
      <c r="B350" s="7">
        <v>44630.635416666664</v>
      </c>
      <c r="C350" s="3">
        <f>11963408/10^5</f>
        <v>119.63408</v>
      </c>
      <c r="D350" s="3">
        <f>441646/10^4</f>
        <v>44.1646</v>
      </c>
      <c r="E350" s="3"/>
      <c r="F350" s="3"/>
      <c r="G350" s="3">
        <f>7546948/10^5</f>
        <v>75.469480000000004</v>
      </c>
      <c r="H350" s="3">
        <f>3402990703/10^7</f>
        <v>340.29907029999998</v>
      </c>
      <c r="I350" s="3">
        <f>33948/10^2</f>
        <v>339.48</v>
      </c>
      <c r="J350" s="3">
        <f t="shared" si="23"/>
        <v>167.75</v>
      </c>
      <c r="K350" s="3">
        <f>896798176/10^8</f>
        <v>8.9679817600000007</v>
      </c>
      <c r="L350" s="3">
        <f>176297243/10^8</f>
        <v>1.76297243</v>
      </c>
      <c r="M350" s="3">
        <f>35236928/10^7</f>
        <v>3.5236928000000001</v>
      </c>
      <c r="N350" s="5"/>
    </row>
    <row r="351" spans="1:14" x14ac:dyDescent="0.3">
      <c r="A351" s="7">
        <v>44630.635416666664</v>
      </c>
      <c r="B351" s="7">
        <v>44630.645833333336</v>
      </c>
      <c r="C351" s="3">
        <f>17326963/10^5</f>
        <v>173.26963000000001</v>
      </c>
      <c r="D351" s="3">
        <f>398958/10^4</f>
        <v>39.895800000000001</v>
      </c>
      <c r="E351" s="3"/>
      <c r="F351" s="3"/>
      <c r="G351" s="3">
        <f>13337383/10^5</f>
        <v>133.37383</v>
      </c>
      <c r="H351" s="3">
        <f>3420618628/10^7</f>
        <v>342.06186279999997</v>
      </c>
      <c r="I351" s="3">
        <f>33948/10^2</f>
        <v>339.48</v>
      </c>
      <c r="J351" s="3">
        <f t="shared" si="23"/>
        <v>167.75</v>
      </c>
      <c r="K351" s="3">
        <f>907741883/10^8</f>
        <v>9.0774188299999992</v>
      </c>
      <c r="L351" s="3">
        <f>176188066/10^8</f>
        <v>1.7618806600000001</v>
      </c>
      <c r="M351" s="3">
        <f>429078841/10^8</f>
        <v>4.2907884100000002</v>
      </c>
      <c r="N351" s="5"/>
    </row>
    <row r="352" spans="1:14" x14ac:dyDescent="0.3">
      <c r="A352" s="7">
        <v>44630.645833333336</v>
      </c>
      <c r="B352" s="7">
        <v>44630.65625</v>
      </c>
      <c r="C352" s="3">
        <f>19637854/10^5</f>
        <v>196.37853999999999</v>
      </c>
      <c r="D352" s="3">
        <f>3523053/10^5</f>
        <v>35.230530000000002</v>
      </c>
      <c r="E352" s="3"/>
      <c r="F352" s="3"/>
      <c r="G352" s="3">
        <f>16114801/10^5</f>
        <v>161.14801</v>
      </c>
      <c r="H352" s="3">
        <f>3401736806/10^7</f>
        <v>340.17368060000001</v>
      </c>
      <c r="I352" s="3">
        <f>33948/10^2</f>
        <v>339.48</v>
      </c>
      <c r="J352" s="3">
        <f t="shared" si="23"/>
        <v>167.75</v>
      </c>
      <c r="K352" s="3">
        <f>914295213/10^8</f>
        <v>9.1429521299999994</v>
      </c>
      <c r="L352" s="3">
        <f>214190834/10^8</f>
        <v>2.1419083400000001</v>
      </c>
      <c r="M352" s="3">
        <f>44710862/10^7</f>
        <v>4.4710862000000002</v>
      </c>
      <c r="N352" s="5"/>
    </row>
    <row r="353" spans="1:14" x14ac:dyDescent="0.3">
      <c r="A353" s="7">
        <v>44630.65625</v>
      </c>
      <c r="B353" s="7">
        <v>44630.666666666664</v>
      </c>
      <c r="C353" s="3">
        <f>24583051/10^5</f>
        <v>245.83051</v>
      </c>
      <c r="D353" s="3">
        <f>5897684/10^5</f>
        <v>58.976840000000003</v>
      </c>
      <c r="E353" s="3"/>
      <c r="F353" s="3"/>
      <c r="G353" s="3">
        <f>18685367/10^5</f>
        <v>186.85366999999999</v>
      </c>
      <c r="H353" s="3">
        <f>3503822087/10^7</f>
        <v>350.38220869999998</v>
      </c>
      <c r="I353" s="3">
        <f>34974/10^2</f>
        <v>349.74</v>
      </c>
      <c r="J353" s="3">
        <f t="shared" si="23"/>
        <v>167.75</v>
      </c>
      <c r="K353" s="3">
        <f>938534663/10^8</f>
        <v>9.3853466300000008</v>
      </c>
      <c r="L353" s="3">
        <f>211376489/10^8</f>
        <v>2.1137648900000001</v>
      </c>
      <c r="M353" s="3">
        <f>125589917/10^7</f>
        <v>12.5589917</v>
      </c>
      <c r="N353" s="5"/>
    </row>
    <row r="354" spans="1:14" x14ac:dyDescent="0.3">
      <c r="A354" s="7">
        <v>44630.666666666664</v>
      </c>
      <c r="B354" s="7">
        <v>44630.677083333336</v>
      </c>
      <c r="C354" s="3">
        <f>18774689/10^5</f>
        <v>187.74689000000001</v>
      </c>
      <c r="D354" s="3">
        <f>13539746/10^5</f>
        <v>135.39746</v>
      </c>
      <c r="E354" s="3"/>
      <c r="F354" s="3"/>
      <c r="G354" s="3">
        <f>5234943/10^5</f>
        <v>52.349429999999998</v>
      </c>
      <c r="H354" s="3">
        <f>4784499999/10^7</f>
        <v>478.44999990000002</v>
      </c>
      <c r="I354" s="3">
        <f>47845/10^2</f>
        <v>478.45</v>
      </c>
      <c r="J354" s="3">
        <f>0/10^0</f>
        <v>0</v>
      </c>
      <c r="K354" s="3">
        <f>1189443727/10^8</f>
        <v>11.894437269999999</v>
      </c>
      <c r="L354" s="3">
        <f>259739132/10^8</f>
        <v>2.5973913199999998</v>
      </c>
      <c r="M354" s="3">
        <f>3882112305/10^8</f>
        <v>38.821123049999997</v>
      </c>
      <c r="N354" s="5"/>
    </row>
    <row r="355" spans="1:14" x14ac:dyDescent="0.3">
      <c r="A355" s="7">
        <v>44630.677083333336</v>
      </c>
      <c r="B355" s="7">
        <v>44630.6875</v>
      </c>
      <c r="C355" s="3">
        <f>13668115/10^5</f>
        <v>136.68115</v>
      </c>
      <c r="D355" s="3">
        <f>9324231/10^5</f>
        <v>93.242310000000003</v>
      </c>
      <c r="E355" s="3"/>
      <c r="F355" s="3"/>
      <c r="G355" s="3">
        <f>4343884/10^5</f>
        <v>43.438839999999999</v>
      </c>
      <c r="H355" s="3">
        <f>4259895104/10^7</f>
        <v>425.98951039999997</v>
      </c>
      <c r="I355" s="3">
        <f>42598/10^2</f>
        <v>425.98</v>
      </c>
      <c r="J355" s="3">
        <f>11629/10^2</f>
        <v>116.29</v>
      </c>
      <c r="K355" s="3">
        <f>1130960883/10^8</f>
        <v>11.30960883</v>
      </c>
      <c r="L355" s="3">
        <f>266178276/10^8</f>
        <v>2.6617827599999999</v>
      </c>
      <c r="M355" s="3">
        <f>1471777522/10^8</f>
        <v>14.71777522</v>
      </c>
      <c r="N355" s="5"/>
    </row>
    <row r="356" spans="1:14" x14ac:dyDescent="0.3">
      <c r="A356" s="7">
        <v>44630.6875</v>
      </c>
      <c r="B356" s="7">
        <v>44630.697916666664</v>
      </c>
      <c r="C356" s="3">
        <f>17314302/10^5</f>
        <v>173.14302000000001</v>
      </c>
      <c r="D356" s="3">
        <f>6991501/10^5</f>
        <v>69.915009999999995</v>
      </c>
      <c r="E356" s="3"/>
      <c r="F356" s="3"/>
      <c r="G356" s="3">
        <f>10322801/10^5</f>
        <v>103.22801</v>
      </c>
      <c r="H356" s="3">
        <f>391718121/10^6</f>
        <v>391.718121</v>
      </c>
      <c r="I356" s="3">
        <f>39115/10^2</f>
        <v>391.15</v>
      </c>
      <c r="J356" s="3">
        <f>11629/10^2</f>
        <v>116.29</v>
      </c>
      <c r="K356" s="3">
        <f>1150311252/10^8</f>
        <v>11.50311252</v>
      </c>
      <c r="L356" s="3">
        <f>272029812/10^8</f>
        <v>2.7202981199999998</v>
      </c>
      <c r="M356" s="3">
        <f>1105106404/10^8</f>
        <v>11.05106404</v>
      </c>
      <c r="N356" s="5"/>
    </row>
    <row r="357" spans="1:14" x14ac:dyDescent="0.3">
      <c r="A357" s="7">
        <v>44630.697916666664</v>
      </c>
      <c r="B357" s="7">
        <v>44630.708333333336</v>
      </c>
      <c r="C357" s="3">
        <f>19845481/10^5</f>
        <v>198.45481000000001</v>
      </c>
      <c r="D357" s="3">
        <f>6647289/10^5</f>
        <v>66.472890000000007</v>
      </c>
      <c r="E357" s="3"/>
      <c r="F357" s="3"/>
      <c r="G357" s="3">
        <f>13198192/10^5</f>
        <v>131.98192</v>
      </c>
      <c r="H357" s="3">
        <f>4230564266/10^7</f>
        <v>423.05642660000001</v>
      </c>
      <c r="I357" s="3">
        <f>42303/10^2</f>
        <v>423.03</v>
      </c>
      <c r="J357" s="3">
        <f>11629/10^2</f>
        <v>116.29</v>
      </c>
      <c r="K357" s="3">
        <f>1071207497/10^8</f>
        <v>10.71207497</v>
      </c>
      <c r="L357" s="3">
        <f>264265782/10^8</f>
        <v>2.6426578200000002</v>
      </c>
      <c r="M357" s="3">
        <f>1098484577/10^8</f>
        <v>10.98484577</v>
      </c>
      <c r="N357" s="5"/>
    </row>
    <row r="358" spans="1:14" x14ac:dyDescent="0.3">
      <c r="A358" s="7">
        <v>44630.708333333336</v>
      </c>
      <c r="B358" s="7">
        <v>44630.71875</v>
      </c>
      <c r="C358" s="3">
        <f>11459912/10^5</f>
        <v>114.59912</v>
      </c>
      <c r="D358" s="3">
        <f>11141641/10^5</f>
        <v>111.41641</v>
      </c>
      <c r="E358" s="3"/>
      <c r="F358" s="3"/>
      <c r="G358" s="3">
        <f>318271/10^5</f>
        <v>3.1827100000000002</v>
      </c>
      <c r="H358" s="3">
        <f>4298618222/10^7</f>
        <v>429.86182220000001</v>
      </c>
      <c r="I358" s="3">
        <f>42985/10^2</f>
        <v>429.85</v>
      </c>
      <c r="J358" s="3">
        <f>14935/10^2</f>
        <v>149.35</v>
      </c>
      <c r="K358" s="3">
        <f>117859179/10^7</f>
        <v>11.785917899999999</v>
      </c>
      <c r="L358" s="3">
        <f>154742694/10^8</f>
        <v>1.54742694</v>
      </c>
      <c r="M358" s="3">
        <f>1637888745/10^8</f>
        <v>16.378887450000001</v>
      </c>
      <c r="N358" s="5"/>
    </row>
    <row r="359" spans="1:14" x14ac:dyDescent="0.3">
      <c r="A359" s="7">
        <v>44630.71875</v>
      </c>
      <c r="B359" s="7">
        <v>44630.729166666664</v>
      </c>
      <c r="C359" s="3">
        <f>11400375/10^5</f>
        <v>114.00375</v>
      </c>
      <c r="D359" s="3">
        <f>6766706/10^5</f>
        <v>67.667060000000006</v>
      </c>
      <c r="E359" s="3"/>
      <c r="F359" s="3"/>
      <c r="G359" s="3">
        <f>4633669/10^5</f>
        <v>46.336689999999997</v>
      </c>
      <c r="H359" s="3">
        <f>4292002352/10^7</f>
        <v>429.20023520000001</v>
      </c>
      <c r="I359" s="3">
        <f>42865/10^2</f>
        <v>428.65</v>
      </c>
      <c r="J359" s="3">
        <f>18989/10^2</f>
        <v>189.89</v>
      </c>
      <c r="K359" s="3">
        <f>1216665963/10^8</f>
        <v>12.16665963</v>
      </c>
      <c r="L359" s="3">
        <f>146197553/10^8</f>
        <v>1.4619755299999999</v>
      </c>
      <c r="M359" s="3">
        <f>642732194/10^8</f>
        <v>6.4273219399999997</v>
      </c>
      <c r="N359" s="5"/>
    </row>
    <row r="360" spans="1:14" x14ac:dyDescent="0.3">
      <c r="A360" s="7">
        <v>44630.729166666664</v>
      </c>
      <c r="B360" s="7">
        <v>44630.739583333336</v>
      </c>
      <c r="C360" s="3">
        <f>1541139/10^4</f>
        <v>154.1139</v>
      </c>
      <c r="D360" s="3">
        <f>4637803/10^5</f>
        <v>46.378030000000003</v>
      </c>
      <c r="E360" s="3"/>
      <c r="F360" s="3"/>
      <c r="G360" s="3">
        <f>10773587/10^5</f>
        <v>107.73587000000001</v>
      </c>
      <c r="H360" s="3">
        <f>4293788642/10^7</f>
        <v>429.37886420000001</v>
      </c>
      <c r="I360" s="3">
        <f>42905/10^2</f>
        <v>429.05</v>
      </c>
      <c r="J360" s="3">
        <f>2199/10^1</f>
        <v>219.9</v>
      </c>
      <c r="K360" s="3">
        <f>1236987597/10^8</f>
        <v>12.369875970000001</v>
      </c>
      <c r="L360" s="3">
        <f>148414846/10^8</f>
        <v>1.4841484599999999</v>
      </c>
      <c r="M360" s="3">
        <f>660892873/10^8</f>
        <v>6.6089287299999997</v>
      </c>
      <c r="N360" s="5"/>
    </row>
    <row r="361" spans="1:14" x14ac:dyDescent="0.3">
      <c r="A361" s="7">
        <v>44630.739583333336</v>
      </c>
      <c r="B361" s="7">
        <v>44630.75</v>
      </c>
      <c r="C361" s="3">
        <f>19056953/10^5</f>
        <v>190.56952999999999</v>
      </c>
      <c r="D361" s="3">
        <f>1440597/10^5</f>
        <v>14.40597</v>
      </c>
      <c r="E361" s="3"/>
      <c r="F361" s="3"/>
      <c r="G361" s="3">
        <f>17616356/10^5</f>
        <v>176.16355999999999</v>
      </c>
      <c r="H361" s="3">
        <f>4302485307/10^7</f>
        <v>430.2485307</v>
      </c>
      <c r="I361" s="3">
        <f>42995/10^2</f>
        <v>429.95</v>
      </c>
      <c r="J361" s="3">
        <f>0/10^0</f>
        <v>0</v>
      </c>
      <c r="K361" s="3">
        <f>1190708996/10^8</f>
        <v>11.90708996</v>
      </c>
      <c r="L361" s="3">
        <f>14524183/10^7</f>
        <v>1.4524182999999999</v>
      </c>
      <c r="M361" s="3">
        <f>321217261/10^8</f>
        <v>3.2121726100000001</v>
      </c>
      <c r="N361" s="5"/>
    </row>
    <row r="362" spans="1:14" x14ac:dyDescent="0.3">
      <c r="A362" s="7">
        <v>44630.75</v>
      </c>
      <c r="B362" s="7">
        <v>44630.760416666664</v>
      </c>
      <c r="C362" s="3">
        <f>19182045/10^5</f>
        <v>191.82044999999999</v>
      </c>
      <c r="D362" s="3">
        <f>3661766/10^5</f>
        <v>36.617660000000001</v>
      </c>
      <c r="E362" s="3"/>
      <c r="F362" s="3"/>
      <c r="G362" s="3">
        <f>15520279/10^5</f>
        <v>155.20278999999999</v>
      </c>
      <c r="H362" s="3">
        <f>4823469973/10^7</f>
        <v>482.3469973</v>
      </c>
      <c r="I362" s="3">
        <f>4821/10^1</f>
        <v>482.1</v>
      </c>
      <c r="J362" s="3">
        <f>21988/10^2</f>
        <v>219.88</v>
      </c>
      <c r="K362" s="3">
        <f>1370372498/10^8</f>
        <v>13.70372498</v>
      </c>
      <c r="L362" s="3">
        <f>195956757/10^8</f>
        <v>1.9595675699999999</v>
      </c>
      <c r="M362" s="3">
        <f>1520751878/10^8</f>
        <v>15.207518779999999</v>
      </c>
      <c r="N362" s="5"/>
    </row>
    <row r="363" spans="1:14" x14ac:dyDescent="0.3">
      <c r="A363" s="7">
        <v>44630.760416666664</v>
      </c>
      <c r="B363" s="7">
        <v>44630.770833333336</v>
      </c>
      <c r="C363" s="3">
        <f>18332037/10^5</f>
        <v>183.32037</v>
      </c>
      <c r="D363" s="3">
        <f>4379492/10^5</f>
        <v>43.794919999999998</v>
      </c>
      <c r="E363" s="3"/>
      <c r="F363" s="3"/>
      <c r="G363" s="3">
        <f>13952545/10^5</f>
        <v>139.52545000000001</v>
      </c>
      <c r="H363" s="3">
        <f>4905199999/10^7</f>
        <v>490.51999990000002</v>
      </c>
      <c r="I363" s="3">
        <f>49052/10^2</f>
        <v>490.52</v>
      </c>
      <c r="J363" s="3">
        <f>21988/10^2</f>
        <v>219.88</v>
      </c>
      <c r="K363" s="3">
        <f>1374027385/10^8</f>
        <v>13.740273849999999</v>
      </c>
      <c r="L363" s="3">
        <f>196414822/10^8</f>
        <v>1.96414822</v>
      </c>
      <c r="M363" s="3">
        <f>946963982/10^8</f>
        <v>9.4696398199999994</v>
      </c>
      <c r="N363" s="5"/>
    </row>
    <row r="364" spans="1:14" x14ac:dyDescent="0.3">
      <c r="A364" s="7">
        <v>44630.770833333336</v>
      </c>
      <c r="B364" s="7">
        <v>44630.78125</v>
      </c>
      <c r="C364" s="3">
        <f>19503996/10^5</f>
        <v>195.03996000000001</v>
      </c>
      <c r="D364" s="3">
        <f>7518683/10^5</f>
        <v>75.18683</v>
      </c>
      <c r="E364" s="3"/>
      <c r="F364" s="3"/>
      <c r="G364" s="3">
        <f>11985313/10^5</f>
        <v>119.85312999999999</v>
      </c>
      <c r="H364" s="3">
        <f>4905199999/10^7</f>
        <v>490.51999990000002</v>
      </c>
      <c r="I364" s="3">
        <f>49052/10^2</f>
        <v>490.52</v>
      </c>
      <c r="J364" s="3">
        <f>21988/10^2</f>
        <v>219.88</v>
      </c>
      <c r="K364" s="3">
        <f>1427552141/10^8</f>
        <v>14.27552141</v>
      </c>
      <c r="L364" s="3">
        <f>170082927/10^8</f>
        <v>1.7008292700000001</v>
      </c>
      <c r="M364" s="3">
        <f>1746711243/10^8</f>
        <v>17.46711243</v>
      </c>
      <c r="N364" s="5"/>
    </row>
    <row r="365" spans="1:14" x14ac:dyDescent="0.3">
      <c r="A365" s="7">
        <v>44630.78125</v>
      </c>
      <c r="B365" s="7">
        <v>44630.791666666664</v>
      </c>
      <c r="C365" s="3">
        <f>20290005/10^5</f>
        <v>202.90004999999999</v>
      </c>
      <c r="D365" s="3">
        <f>11175135/10^5</f>
        <v>111.75135</v>
      </c>
      <c r="E365" s="3"/>
      <c r="F365" s="3"/>
      <c r="G365" s="3">
        <f>911487/10^4</f>
        <v>91.148700000000005</v>
      </c>
      <c r="H365" s="3">
        <f>4832127033/10^7</f>
        <v>483.21270329999999</v>
      </c>
      <c r="I365" s="3">
        <f>4832/10^1</f>
        <v>483.2</v>
      </c>
      <c r="J365" s="3">
        <f>21988/10^2</f>
        <v>219.88</v>
      </c>
      <c r="K365" s="3">
        <f>141968054/10^7</f>
        <v>14.196805400000001</v>
      </c>
      <c r="L365" s="3">
        <f>169563749/10^8</f>
        <v>1.69563749</v>
      </c>
      <c r="M365" s="3">
        <f>1388386988/10^8</f>
        <v>13.883869880000001</v>
      </c>
      <c r="N365" s="5"/>
    </row>
    <row r="366" spans="1:14" x14ac:dyDescent="0.3">
      <c r="A366" s="7">
        <v>44630.791666666664</v>
      </c>
      <c r="B366" s="7">
        <v>44630.802083333336</v>
      </c>
      <c r="C366" s="3">
        <f>17571461/10^5</f>
        <v>175.71460999999999</v>
      </c>
      <c r="D366" s="3">
        <f>16565938/10^5</f>
        <v>165.65938</v>
      </c>
      <c r="E366" s="3"/>
      <c r="F366" s="3"/>
      <c r="G366" s="3">
        <f>1005523/10^5</f>
        <v>10.05523</v>
      </c>
      <c r="H366" s="3">
        <f>4916766729/10^7</f>
        <v>491.67667290000003</v>
      </c>
      <c r="I366" s="3">
        <f>4916/10^1</f>
        <v>491.6</v>
      </c>
      <c r="J366" s="3">
        <f>11629/10^2</f>
        <v>116.29</v>
      </c>
      <c r="K366" s="3">
        <f>1458776705/10^8</f>
        <v>14.58776705</v>
      </c>
      <c r="L366" s="3">
        <f>12802214/10^7</f>
        <v>1.2802214000000001</v>
      </c>
      <c r="M366" s="3">
        <f>652645455/10^8</f>
        <v>6.5264545500000004</v>
      </c>
      <c r="N366" s="5"/>
    </row>
    <row r="367" spans="1:14" x14ac:dyDescent="0.3">
      <c r="A367" s="7">
        <v>44630.802083333336</v>
      </c>
      <c r="B367" s="7">
        <v>44630.8125</v>
      </c>
      <c r="C367" s="3">
        <f>19454166/10^5</f>
        <v>194.54166000000001</v>
      </c>
      <c r="D367" s="3">
        <f>11417738/10^5</f>
        <v>114.17738</v>
      </c>
      <c r="E367" s="3"/>
      <c r="F367" s="3"/>
      <c r="G367" s="3">
        <f>8036428/10^5</f>
        <v>80.364279999999994</v>
      </c>
      <c r="H367" s="3">
        <f>5000199999/10^7</f>
        <v>500.01999990000002</v>
      </c>
      <c r="I367" s="3">
        <f>50002/10^2</f>
        <v>500.02</v>
      </c>
      <c r="J367" s="3">
        <f>11629/10^2</f>
        <v>116.29</v>
      </c>
      <c r="K367" s="3">
        <f>1528371637/10^8</f>
        <v>15.28371637</v>
      </c>
      <c r="L367" s="3">
        <f>12878545/10^7</f>
        <v>1.2878544999999999</v>
      </c>
      <c r="M367" s="3">
        <f>1242299081/10^8</f>
        <v>12.42299081</v>
      </c>
      <c r="N367" s="5"/>
    </row>
    <row r="368" spans="1:14" x14ac:dyDescent="0.3">
      <c r="A368" s="7">
        <v>44630.8125</v>
      </c>
      <c r="B368" s="7">
        <v>44630.822916666664</v>
      </c>
      <c r="C368" s="3">
        <f>18868712/10^5</f>
        <v>188.68711999999999</v>
      </c>
      <c r="D368" s="3">
        <f>9405559/10^5</f>
        <v>94.055589999999995</v>
      </c>
      <c r="E368" s="3"/>
      <c r="F368" s="3"/>
      <c r="G368" s="3">
        <f>9463153/10^5</f>
        <v>94.631529999999998</v>
      </c>
      <c r="H368" s="3">
        <f>5000199999/10^7</f>
        <v>500.01999990000002</v>
      </c>
      <c r="I368" s="3">
        <f>50002/10^2</f>
        <v>500.02</v>
      </c>
      <c r="J368" s="3">
        <f>11629/10^2</f>
        <v>116.29</v>
      </c>
      <c r="K368" s="3">
        <f>149529487/10^7</f>
        <v>14.9529487</v>
      </c>
      <c r="L368" s="3">
        <f>184533866/10^8</f>
        <v>1.8453386599999999</v>
      </c>
      <c r="M368" s="3">
        <f>1847266927/10^8</f>
        <v>18.472669270000001</v>
      </c>
      <c r="N368" s="5"/>
    </row>
    <row r="369" spans="1:14" x14ac:dyDescent="0.3">
      <c r="A369" s="7">
        <v>44630.822916666664</v>
      </c>
      <c r="B369" s="7">
        <v>44630.833333333336</v>
      </c>
      <c r="C369" s="3">
        <f>17244099/10^5</f>
        <v>172.44099</v>
      </c>
      <c r="D369" s="3">
        <f>8554534/10^5</f>
        <v>85.545339999999996</v>
      </c>
      <c r="E369" s="3"/>
      <c r="F369" s="3"/>
      <c r="G369" s="3">
        <f>8689565/10^5</f>
        <v>86.895650000000003</v>
      </c>
      <c r="H369" s="3">
        <f>5000199999/10^7</f>
        <v>500.01999990000002</v>
      </c>
      <c r="I369" s="3">
        <f>50002/10^2</f>
        <v>500.02</v>
      </c>
      <c r="J369" s="3">
        <f>21989/10^2</f>
        <v>219.89</v>
      </c>
      <c r="K369" s="3">
        <f>1498550233/10^8</f>
        <v>14.985502329999999</v>
      </c>
      <c r="L369" s="3">
        <f>186581223/10^8</f>
        <v>1.86581223</v>
      </c>
      <c r="M369" s="3">
        <f>1575336139/10^8</f>
        <v>15.75336139</v>
      </c>
      <c r="N369" s="5"/>
    </row>
    <row r="370" spans="1:14" x14ac:dyDescent="0.3">
      <c r="A370" s="7">
        <v>44630.833333333336</v>
      </c>
      <c r="B370" s="7">
        <v>44630.84375</v>
      </c>
      <c r="C370" s="3">
        <f>20097576/10^5</f>
        <v>200.97576000000001</v>
      </c>
      <c r="D370" s="3">
        <f>5584293/10^5</f>
        <v>55.842930000000003</v>
      </c>
      <c r="E370" s="3"/>
      <c r="F370" s="3"/>
      <c r="G370" s="3">
        <f>14513283/10^5</f>
        <v>145.13283000000001</v>
      </c>
      <c r="H370" s="3">
        <f>4427422504/10^7</f>
        <v>442.74225039999999</v>
      </c>
      <c r="I370" s="3">
        <f>44271/10^2</f>
        <v>442.71</v>
      </c>
      <c r="J370" s="3">
        <f>2199/10^1</f>
        <v>219.9</v>
      </c>
      <c r="K370" s="3">
        <f>1374091115/10^8</f>
        <v>13.740911150000001</v>
      </c>
      <c r="L370" s="3">
        <f>262984263/10^8</f>
        <v>2.6298426300000002</v>
      </c>
      <c r="M370" s="3">
        <f>649112269/10^8</f>
        <v>6.4911226900000001</v>
      </c>
      <c r="N370" s="5"/>
    </row>
    <row r="371" spans="1:14" x14ac:dyDescent="0.3">
      <c r="A371" s="7">
        <v>44630.84375</v>
      </c>
      <c r="B371" s="7">
        <v>44630.854166666664</v>
      </c>
      <c r="C371" s="3">
        <f>19934722/10^5</f>
        <v>199.34721999999999</v>
      </c>
      <c r="D371" s="3">
        <f>3816042/10^5</f>
        <v>38.160420000000002</v>
      </c>
      <c r="E371" s="3"/>
      <c r="F371" s="3"/>
      <c r="G371" s="3">
        <f>1611868/10^4</f>
        <v>161.18680000000001</v>
      </c>
      <c r="H371" s="3">
        <f>4423258715/10^7</f>
        <v>442.32587150000001</v>
      </c>
      <c r="I371" s="3">
        <f>44231/10^2</f>
        <v>442.31</v>
      </c>
      <c r="J371" s="3">
        <f>0/10^0</f>
        <v>0</v>
      </c>
      <c r="K371" s="3">
        <f>1391975353/10^8</f>
        <v>13.919753529999999</v>
      </c>
      <c r="L371" s="3">
        <f>273771284/10^8</f>
        <v>2.7377128399999999</v>
      </c>
      <c r="M371" s="3">
        <f>1839255512/10^8</f>
        <v>18.392555120000001</v>
      </c>
      <c r="N371" s="5"/>
    </row>
    <row r="372" spans="1:14" x14ac:dyDescent="0.3">
      <c r="A372" s="7">
        <v>44630.854166666664</v>
      </c>
      <c r="B372" s="7">
        <v>44630.864583333336</v>
      </c>
      <c r="C372" s="3">
        <f>15725607/10^5</f>
        <v>157.25606999999999</v>
      </c>
      <c r="D372" s="3">
        <f>8364445/10^5</f>
        <v>83.644450000000006</v>
      </c>
      <c r="E372" s="3"/>
      <c r="F372" s="3"/>
      <c r="G372" s="3">
        <f>7361162/10^5</f>
        <v>73.611620000000002</v>
      </c>
      <c r="H372" s="3">
        <f>4423217339/10^7</f>
        <v>442.32173390000003</v>
      </c>
      <c r="I372" s="3">
        <f>44231/10^2</f>
        <v>442.31</v>
      </c>
      <c r="J372" s="3">
        <f>11569/10^2</f>
        <v>115.69</v>
      </c>
      <c r="K372" s="3">
        <f>1332124672/10^8</f>
        <v>13.32124672</v>
      </c>
      <c r="L372" s="3">
        <f>197750218/10^8</f>
        <v>1.9775021800000001</v>
      </c>
      <c r="M372" s="3">
        <f>1495084839/10^8</f>
        <v>14.950848390000001</v>
      </c>
      <c r="N372" s="5"/>
    </row>
    <row r="373" spans="1:14" x14ac:dyDescent="0.3">
      <c r="A373" s="7">
        <v>44630.864583333336</v>
      </c>
      <c r="B373" s="7">
        <v>44630.875</v>
      </c>
      <c r="C373" s="3">
        <f>18234694/10^5</f>
        <v>182.34693999999999</v>
      </c>
      <c r="D373" s="3">
        <f>10984356/10^5</f>
        <v>109.84356</v>
      </c>
      <c r="E373" s="3"/>
      <c r="F373" s="3"/>
      <c r="G373" s="3">
        <f>7250338/10^5</f>
        <v>72.503380000000007</v>
      </c>
      <c r="H373" s="3">
        <f>4423193039/10^7</f>
        <v>442.31930390000002</v>
      </c>
      <c r="I373" s="3">
        <f>44231/10^2</f>
        <v>442.31</v>
      </c>
      <c r="J373" s="3">
        <f>17989/10^2</f>
        <v>179.89</v>
      </c>
      <c r="K373" s="3">
        <f>1338094937/10^8</f>
        <v>13.38094937</v>
      </c>
      <c r="L373" s="3">
        <f>202120731/10^8</f>
        <v>2.0212073099999999</v>
      </c>
      <c r="M373" s="3">
        <f>1833349491/10^8</f>
        <v>18.333494909999999</v>
      </c>
      <c r="N373" s="5"/>
    </row>
    <row r="374" spans="1:14" x14ac:dyDescent="0.3">
      <c r="A374" s="7">
        <v>44630.875</v>
      </c>
      <c r="B374" s="7">
        <v>44630.885416666664</v>
      </c>
      <c r="C374" s="3">
        <f>3092294/10^4</f>
        <v>309.2294</v>
      </c>
      <c r="D374" s="3">
        <f>11672952/10^5</f>
        <v>116.72951999999999</v>
      </c>
      <c r="E374" s="3"/>
      <c r="F374" s="3"/>
      <c r="G374" s="3">
        <f>19249988/10^5</f>
        <v>192.49987999999999</v>
      </c>
      <c r="H374" s="3">
        <f>1600/10^0</f>
        <v>1600</v>
      </c>
      <c r="I374" s="3">
        <f>1600/10^0</f>
        <v>1600</v>
      </c>
      <c r="J374" s="3">
        <f>0/10^0</f>
        <v>0</v>
      </c>
      <c r="K374" s="3">
        <f>181607806/10^7</f>
        <v>18.160780599999999</v>
      </c>
      <c r="L374" s="3">
        <f>269566937/10^8</f>
        <v>2.6956693700000001</v>
      </c>
      <c r="M374" s="3">
        <f>1183672907/10^7</f>
        <v>118.3672907</v>
      </c>
      <c r="N374" s="5"/>
    </row>
    <row r="375" spans="1:14" x14ac:dyDescent="0.3">
      <c r="A375" s="7">
        <v>44630.885416666664</v>
      </c>
      <c r="B375" s="7">
        <v>44630.895833333336</v>
      </c>
      <c r="C375" s="3">
        <f>25874495/10^5</f>
        <v>258.74495000000002</v>
      </c>
      <c r="D375" s="3">
        <f>7308573/10^5</f>
        <v>73.085729999999998</v>
      </c>
      <c r="E375" s="3"/>
      <c r="F375" s="3"/>
      <c r="G375" s="3">
        <f>18565922/10^5</f>
        <v>185.65922</v>
      </c>
      <c r="H375" s="3">
        <f>1600/10^0</f>
        <v>1600</v>
      </c>
      <c r="I375" s="3">
        <f>1600/10^0</f>
        <v>1600</v>
      </c>
      <c r="J375" s="3">
        <f>8/10^2</f>
        <v>0.08</v>
      </c>
      <c r="K375" s="3">
        <f>1578812492/10^8</f>
        <v>15.78812492</v>
      </c>
      <c r="L375" s="3">
        <f>274931478/10^8</f>
        <v>2.7493147800000002</v>
      </c>
      <c r="M375" s="3">
        <f>1070425069/10^7</f>
        <v>107.04250690000001</v>
      </c>
      <c r="N375" s="5"/>
    </row>
    <row r="376" spans="1:14" x14ac:dyDescent="0.3">
      <c r="A376" s="7">
        <v>44630.895833333336</v>
      </c>
      <c r="B376" s="7">
        <v>44630.90625</v>
      </c>
      <c r="C376" s="3">
        <f>19239913/10^5</f>
        <v>192.39913000000001</v>
      </c>
      <c r="D376" s="3">
        <f>8599732/10^5</f>
        <v>85.997320000000002</v>
      </c>
      <c r="E376" s="3"/>
      <c r="F376" s="3"/>
      <c r="G376" s="3">
        <f>10640181/10^5</f>
        <v>106.40181</v>
      </c>
      <c r="H376" s="3">
        <f>3685851054/10^7</f>
        <v>368.58510539999997</v>
      </c>
      <c r="I376" s="3">
        <f>36858/10^2</f>
        <v>368.58</v>
      </c>
      <c r="J376" s="3">
        <f>0/10^0</f>
        <v>0</v>
      </c>
      <c r="K376" s="3">
        <f>1204749151/10^8</f>
        <v>12.04749151</v>
      </c>
      <c r="L376" s="3">
        <f>275490192/10^8</f>
        <v>2.75490192</v>
      </c>
      <c r="M376" s="3">
        <f>2378394716/10^8</f>
        <v>23.78394716</v>
      </c>
      <c r="N376" s="5"/>
    </row>
    <row r="377" spans="1:14" x14ac:dyDescent="0.3">
      <c r="A377" s="7">
        <v>44630.90625</v>
      </c>
      <c r="B377" s="7">
        <v>44630.916666666664</v>
      </c>
      <c r="C377" s="3">
        <f>17120361/10^5</f>
        <v>171.20361</v>
      </c>
      <c r="D377" s="3">
        <f>8252622/10^5</f>
        <v>82.526219999999995</v>
      </c>
      <c r="E377" s="3"/>
      <c r="F377" s="3"/>
      <c r="G377" s="3">
        <f>8867739/10^5</f>
        <v>88.677390000000003</v>
      </c>
      <c r="H377" s="3">
        <f>368546328/10^6</f>
        <v>368.54632800000002</v>
      </c>
      <c r="I377" s="3">
        <f>36818/10^2</f>
        <v>368.18</v>
      </c>
      <c r="J377" s="3">
        <f>11649/10^2</f>
        <v>116.49</v>
      </c>
      <c r="K377" s="3">
        <f>123601825/10^7</f>
        <v>12.360182500000001</v>
      </c>
      <c r="L377" s="3">
        <f>281582799/10^8</f>
        <v>2.8158279899999998</v>
      </c>
      <c r="M377" s="3">
        <f>2590775058/10^8</f>
        <v>25.907750579999998</v>
      </c>
      <c r="N377" s="5"/>
    </row>
    <row r="378" spans="1:14" x14ac:dyDescent="0.3">
      <c r="A378" s="7">
        <v>44630.916666666664</v>
      </c>
      <c r="B378" s="7">
        <v>44630.927083333336</v>
      </c>
      <c r="C378" s="3">
        <f>18523624/10^5</f>
        <v>185.23624000000001</v>
      </c>
      <c r="D378" s="3">
        <f>12066419/10^5</f>
        <v>120.66419</v>
      </c>
      <c r="E378" s="3"/>
      <c r="F378" s="3"/>
      <c r="G378" s="3">
        <f>6457205/10^5</f>
        <v>64.572050000000004</v>
      </c>
      <c r="H378" s="3">
        <f>3896368216/10^7</f>
        <v>389.63682160000002</v>
      </c>
      <c r="I378" s="3">
        <f>38618/10^2</f>
        <v>386.18</v>
      </c>
      <c r="J378" s="3">
        <f t="shared" ref="J378:J385" si="24">11337/10^2</f>
        <v>113.37</v>
      </c>
      <c r="K378" s="3">
        <f>1532338838/10^8</f>
        <v>15.323388380000001</v>
      </c>
      <c r="L378" s="3">
        <f>458671895/10^8</f>
        <v>4.5867189499999999</v>
      </c>
      <c r="M378" s="3">
        <f>222188977/10^7</f>
        <v>22.218897699999999</v>
      </c>
      <c r="N378" s="5"/>
    </row>
    <row r="379" spans="1:14" x14ac:dyDescent="0.3">
      <c r="A379" s="7">
        <v>44630.927083333336</v>
      </c>
      <c r="B379" s="7">
        <v>44630.9375</v>
      </c>
      <c r="C379" s="3">
        <f>21329299/10^5</f>
        <v>213.29299</v>
      </c>
      <c r="D379" s="3">
        <f>13370395/10^5</f>
        <v>133.70394999999999</v>
      </c>
      <c r="E379" s="3"/>
      <c r="F379" s="3"/>
      <c r="G379" s="3">
        <f>7958904/10^5</f>
        <v>79.589039999999997</v>
      </c>
      <c r="H379" s="3">
        <f>386603748/10^6</f>
        <v>386.603748</v>
      </c>
      <c r="I379" s="3">
        <f>38618/10^2</f>
        <v>386.18</v>
      </c>
      <c r="J379" s="3">
        <f t="shared" si="24"/>
        <v>113.37</v>
      </c>
      <c r="K379" s="3">
        <f>1602725963/10^8</f>
        <v>16.02725963</v>
      </c>
      <c r="L379" s="3">
        <f>449440089/10^8</f>
        <v>4.4944008899999996</v>
      </c>
      <c r="M379" s="3">
        <f>2335624555/10^8</f>
        <v>23.356245550000001</v>
      </c>
      <c r="N379" s="5"/>
    </row>
    <row r="380" spans="1:14" x14ac:dyDescent="0.3">
      <c r="A380" s="7">
        <v>44630.9375</v>
      </c>
      <c r="B380" s="7">
        <v>44630.947916666664</v>
      </c>
      <c r="C380" s="3">
        <f>17984417/10^5</f>
        <v>179.84416999999999</v>
      </c>
      <c r="D380" s="3">
        <f>11696871/10^5</f>
        <v>116.96871</v>
      </c>
      <c r="E380" s="3"/>
      <c r="F380" s="3"/>
      <c r="G380" s="3">
        <f>6287546/10^5</f>
        <v>62.875459999999997</v>
      </c>
      <c r="H380" s="3">
        <f>3855251828/10^7</f>
        <v>385.52518279999998</v>
      </c>
      <c r="I380" s="3">
        <f>38518/10^2</f>
        <v>385.18</v>
      </c>
      <c r="J380" s="3">
        <f t="shared" si="24"/>
        <v>113.37</v>
      </c>
      <c r="K380" s="3">
        <f>1549269103/10^8</f>
        <v>15.49269103</v>
      </c>
      <c r="L380" s="3">
        <f>433288777/10^8</f>
        <v>4.3328877700000001</v>
      </c>
      <c r="M380" s="3">
        <f>2174832699/10^8</f>
        <v>21.748326989999999</v>
      </c>
      <c r="N380" s="5"/>
    </row>
    <row r="381" spans="1:14" x14ac:dyDescent="0.3">
      <c r="A381" s="7">
        <v>44630.947916666664</v>
      </c>
      <c r="B381" s="7">
        <v>44630.958333333336</v>
      </c>
      <c r="C381" s="3">
        <f>16768373/10^5</f>
        <v>167.68373</v>
      </c>
      <c r="D381" s="3">
        <f>13045007/10^5</f>
        <v>130.45007000000001</v>
      </c>
      <c r="E381" s="3"/>
      <c r="F381" s="3"/>
      <c r="G381" s="3">
        <f>3723366/10^5</f>
        <v>37.23366</v>
      </c>
      <c r="H381" s="3">
        <f>3853899232/10^7</f>
        <v>385.3899232</v>
      </c>
      <c r="I381" s="3">
        <f>38518/10^2</f>
        <v>385.18</v>
      </c>
      <c r="J381" s="3">
        <f t="shared" si="24"/>
        <v>113.37</v>
      </c>
      <c r="K381" s="3">
        <f>1625919697/10^8</f>
        <v>16.259196970000001</v>
      </c>
      <c r="L381" s="3">
        <f>454493204/10^8</f>
        <v>4.54493204</v>
      </c>
      <c r="M381" s="3">
        <f>262782728/10^7</f>
        <v>26.2782728</v>
      </c>
      <c r="N381" s="5"/>
    </row>
    <row r="382" spans="1:14" x14ac:dyDescent="0.3">
      <c r="A382" s="7">
        <v>44630.958333333336</v>
      </c>
      <c r="B382" s="7">
        <v>44630.96875</v>
      </c>
      <c r="C382" s="3">
        <f>23291454/10^5</f>
        <v>232.91453999999999</v>
      </c>
      <c r="D382" s="3">
        <f>14189758/10^5</f>
        <v>141.89758</v>
      </c>
      <c r="E382" s="3"/>
      <c r="F382" s="3"/>
      <c r="G382" s="3">
        <f>9101696/10^5</f>
        <v>91.016959999999997</v>
      </c>
      <c r="H382" s="3">
        <f>3736441697/10^7</f>
        <v>373.64416970000002</v>
      </c>
      <c r="I382" s="3">
        <f>37346/10^2</f>
        <v>373.46</v>
      </c>
      <c r="J382" s="3">
        <f t="shared" si="24"/>
        <v>113.37</v>
      </c>
      <c r="K382" s="3">
        <f>156899482/10^7</f>
        <v>15.6899482</v>
      </c>
      <c r="L382" s="3">
        <f>477646417/10^8</f>
        <v>4.7764641699999997</v>
      </c>
      <c r="M382" s="3">
        <f>2801772057/10^8</f>
        <v>28.017720570000002</v>
      </c>
      <c r="N382" s="5"/>
    </row>
    <row r="383" spans="1:14" x14ac:dyDescent="0.3">
      <c r="A383" s="7">
        <v>44630.96875</v>
      </c>
      <c r="B383" s="7">
        <v>44630.979166666664</v>
      </c>
      <c r="C383" s="3">
        <f>15746363/10^5</f>
        <v>157.46362999999999</v>
      </c>
      <c r="D383" s="3">
        <f>12837206/10^5</f>
        <v>128.37206</v>
      </c>
      <c r="E383" s="3"/>
      <c r="F383" s="3"/>
      <c r="G383" s="3">
        <f>2909157/10^5</f>
        <v>29.091570000000001</v>
      </c>
      <c r="H383" s="3">
        <f>3736054885/10^7</f>
        <v>373.60548849999998</v>
      </c>
      <c r="I383" s="3">
        <f>37346/10^2</f>
        <v>373.46</v>
      </c>
      <c r="J383" s="3">
        <f t="shared" si="24"/>
        <v>113.37</v>
      </c>
      <c r="K383" s="3">
        <f>1611405692/10^8</f>
        <v>16.114056919999999</v>
      </c>
      <c r="L383" s="3">
        <f>483668615/10^8</f>
        <v>4.8366861500000002</v>
      </c>
      <c r="M383" s="3">
        <f>2544216335/10^8</f>
        <v>25.442163350000001</v>
      </c>
      <c r="N383" s="5"/>
    </row>
    <row r="384" spans="1:14" x14ac:dyDescent="0.3">
      <c r="A384" s="7">
        <v>44630.979166666664</v>
      </c>
      <c r="B384" s="7">
        <v>44630.989583333336</v>
      </c>
      <c r="C384" s="3">
        <f>11793528/10^5</f>
        <v>117.93528000000001</v>
      </c>
      <c r="D384" s="3">
        <f>11110141/10^5</f>
        <v>111.10141</v>
      </c>
      <c r="E384" s="3"/>
      <c r="F384" s="3"/>
      <c r="G384" s="3">
        <f>683387/10^5</f>
        <v>6.8338700000000001</v>
      </c>
      <c r="H384" s="3">
        <f>3762468968/10^7</f>
        <v>376.2468968</v>
      </c>
      <c r="I384" s="3">
        <f>37346/10^2</f>
        <v>373.46</v>
      </c>
      <c r="J384" s="3">
        <f t="shared" si="24"/>
        <v>113.37</v>
      </c>
      <c r="K384" s="3">
        <f>1693613765/10^8</f>
        <v>16.936137649999999</v>
      </c>
      <c r="L384" s="3">
        <f>433905322/10^8</f>
        <v>4.3390532200000003</v>
      </c>
      <c r="M384" s="3">
        <f>2298232275/10^8</f>
        <v>22.982322750000002</v>
      </c>
      <c r="N384" s="5"/>
    </row>
    <row r="385" spans="1:14" x14ac:dyDescent="0.3">
      <c r="A385" s="7">
        <v>44630.989583333336</v>
      </c>
      <c r="B385" s="7">
        <v>44631</v>
      </c>
      <c r="C385" s="3">
        <f>8660983/10^5</f>
        <v>86.609830000000002</v>
      </c>
      <c r="D385" s="3">
        <f>12556966/10^5</f>
        <v>125.56966</v>
      </c>
      <c r="E385" s="3"/>
      <c r="F385" s="3"/>
      <c r="G385" s="3">
        <f>-3895983/10^5</f>
        <v>-38.959829999999997</v>
      </c>
      <c r="H385" s="3">
        <f>106218069/10^6</f>
        <v>106.218069</v>
      </c>
      <c r="I385" s="3">
        <f>37346/10^2</f>
        <v>373.46</v>
      </c>
      <c r="J385" s="3">
        <f t="shared" si="24"/>
        <v>113.37</v>
      </c>
      <c r="K385" s="3">
        <f>1485044232/10^8</f>
        <v>14.850442320000001</v>
      </c>
      <c r="L385" s="3">
        <f>402082076/10^8</f>
        <v>4.0208207600000003</v>
      </c>
      <c r="M385" s="3">
        <f>1774003183/10^8</f>
        <v>17.74003183</v>
      </c>
      <c r="N385" s="5"/>
    </row>
    <row r="386" spans="1:14" x14ac:dyDescent="0.3">
      <c r="A386" s="7">
        <v>44631</v>
      </c>
      <c r="B386" s="7">
        <v>44631.010416666664</v>
      </c>
      <c r="C386" s="3">
        <f>3301375/10^5</f>
        <v>33.013750000000002</v>
      </c>
      <c r="D386" s="3">
        <f>8517966/10^5</f>
        <v>85.179659999999998</v>
      </c>
      <c r="E386" s="3"/>
      <c r="F386" s="3"/>
      <c r="G386" s="3">
        <f>-5216591/10^5</f>
        <v>-52.165909999999997</v>
      </c>
      <c r="H386" s="3">
        <f>0/10^0</f>
        <v>0</v>
      </c>
      <c r="I386" s="3">
        <f>29013/10^2</f>
        <v>290.13</v>
      </c>
      <c r="J386" s="3">
        <f>0/10^0</f>
        <v>0</v>
      </c>
      <c r="K386" s="3">
        <f>761351269/10^8</f>
        <v>7.6135126900000003</v>
      </c>
      <c r="L386" s="3">
        <f>11993151/10^8</f>
        <v>0.11993151000000001</v>
      </c>
      <c r="M386" s="3">
        <f>716822403/10^8</f>
        <v>7.1682240300000002</v>
      </c>
      <c r="N386" s="5"/>
    </row>
    <row r="387" spans="1:14" x14ac:dyDescent="0.3">
      <c r="A387" s="7">
        <v>44631.010416666664</v>
      </c>
      <c r="B387" s="7">
        <v>44631.020833333336</v>
      </c>
      <c r="C387" s="3">
        <f>1194798/10^5</f>
        <v>11.947979999999999</v>
      </c>
      <c r="D387" s="3">
        <f>6897842/10^5</f>
        <v>68.97842</v>
      </c>
      <c r="E387" s="3"/>
      <c r="F387" s="3"/>
      <c r="G387" s="3">
        <f>-5703044/10^5</f>
        <v>-57.030439999999999</v>
      </c>
      <c r="H387" s="3">
        <f>1457124054/10^7</f>
        <v>145.71240539999999</v>
      </c>
      <c r="I387" s="3">
        <f>0/10^0</f>
        <v>0</v>
      </c>
      <c r="J387" s="3">
        <f>1495/10^1</f>
        <v>149.5</v>
      </c>
      <c r="K387" s="3">
        <f>853164955/10^8</f>
        <v>8.5316495499999991</v>
      </c>
      <c r="L387" s="3">
        <f>13764418/10^8</f>
        <v>0.13764418</v>
      </c>
      <c r="M387" s="3">
        <f>-396863392/10^8</f>
        <v>-3.9686339199999998</v>
      </c>
      <c r="N387" s="5"/>
    </row>
    <row r="388" spans="1:14" x14ac:dyDescent="0.3">
      <c r="A388" s="7">
        <v>44631.020833333336</v>
      </c>
      <c r="B388" s="7">
        <v>44631.03125</v>
      </c>
      <c r="C388" s="3">
        <f>141003/10^5</f>
        <v>1.4100299999999999</v>
      </c>
      <c r="D388" s="3">
        <f>6642659/10^5</f>
        <v>66.426590000000004</v>
      </c>
      <c r="E388" s="3"/>
      <c r="F388" s="3"/>
      <c r="G388" s="3">
        <f>-6501656/10^5</f>
        <v>-65.016559999999998</v>
      </c>
      <c r="H388" s="3">
        <f>1484395857/10^7</f>
        <v>148.43958570000001</v>
      </c>
      <c r="I388" s="3">
        <f>0/10^0</f>
        <v>0</v>
      </c>
      <c r="J388" s="3">
        <f>14951/10^2</f>
        <v>149.51</v>
      </c>
      <c r="K388" s="3">
        <f>889991123/10^8</f>
        <v>8.8999112300000007</v>
      </c>
      <c r="L388" s="3">
        <f>21733995/10^8</f>
        <v>0.21733995</v>
      </c>
      <c r="M388" s="3">
        <f>-13727251/10^8</f>
        <v>-0.13727250999999999</v>
      </c>
      <c r="N388" s="5"/>
    </row>
    <row r="389" spans="1:14" x14ac:dyDescent="0.3">
      <c r="A389" s="7">
        <v>44631.03125</v>
      </c>
      <c r="B389" s="7">
        <v>44631.041666666664</v>
      </c>
      <c r="C389" s="3">
        <f>1383705/10^5</f>
        <v>13.83705</v>
      </c>
      <c r="D389" s="3">
        <f>10546753/10^5</f>
        <v>105.46753</v>
      </c>
      <c r="E389" s="3"/>
      <c r="F389" s="3"/>
      <c r="G389" s="3">
        <f>-9163048/10^5</f>
        <v>-91.630480000000006</v>
      </c>
      <c r="H389" s="3">
        <f>0/10^0</f>
        <v>0</v>
      </c>
      <c r="I389" s="3">
        <f>0/10^0</f>
        <v>0</v>
      </c>
      <c r="J389" s="3">
        <f>0/10^0</f>
        <v>0</v>
      </c>
      <c r="K389" s="3">
        <f>797156269/10^8</f>
        <v>7.9715626899999998</v>
      </c>
      <c r="L389" s="3">
        <f>20806864/10^8</f>
        <v>0.20806864</v>
      </c>
      <c r="M389" s="3">
        <f>279256961/10^8</f>
        <v>2.7925696100000001</v>
      </c>
      <c r="N389" s="5"/>
    </row>
    <row r="390" spans="1:14" x14ac:dyDescent="0.3">
      <c r="A390" s="7">
        <v>44631.041666666664</v>
      </c>
      <c r="B390" s="7">
        <v>44631.052083333336</v>
      </c>
      <c r="C390" s="3">
        <f>12333709/10^5</f>
        <v>123.33709</v>
      </c>
      <c r="D390" s="3">
        <f>7557124/10^5</f>
        <v>75.571240000000003</v>
      </c>
      <c r="E390" s="3"/>
      <c r="F390" s="3"/>
      <c r="G390" s="3">
        <f>4776585/10^5</f>
        <v>47.76585</v>
      </c>
      <c r="H390" s="3">
        <f>2716027969/10^7</f>
        <v>271.60279689999999</v>
      </c>
      <c r="I390" s="3">
        <f t="shared" ref="I390:I396" si="25">259/10^0</f>
        <v>259</v>
      </c>
      <c r="J390" s="3">
        <f>14951/10^2</f>
        <v>149.51</v>
      </c>
      <c r="K390" s="3">
        <f>1006297945/10^8</f>
        <v>10.06297945</v>
      </c>
      <c r="L390" s="3">
        <f>14671736/10^8</f>
        <v>0.14671735999999999</v>
      </c>
      <c r="M390" s="3">
        <f>64548138/10^7</f>
        <v>6.4548138000000002</v>
      </c>
      <c r="N390" s="5"/>
    </row>
    <row r="391" spans="1:14" x14ac:dyDescent="0.3">
      <c r="A391" s="7">
        <v>44631.052083333336</v>
      </c>
      <c r="B391" s="7">
        <v>44631.0625</v>
      </c>
      <c r="C391" s="3">
        <f>10393957/10^5</f>
        <v>103.93957</v>
      </c>
      <c r="D391" s="3">
        <f>4064774/10^5</f>
        <v>40.647739999999999</v>
      </c>
      <c r="E391" s="3"/>
      <c r="F391" s="3"/>
      <c r="G391" s="3">
        <f>6329183/10^5</f>
        <v>63.291829999999997</v>
      </c>
      <c r="H391" s="3">
        <f>2633237128/10^7</f>
        <v>263.32371280000001</v>
      </c>
      <c r="I391" s="3">
        <f t="shared" si="25"/>
        <v>259</v>
      </c>
      <c r="J391" s="3">
        <f>14952/10^2</f>
        <v>149.52000000000001</v>
      </c>
      <c r="K391" s="3">
        <f>1009110308/10^8</f>
        <v>10.09110308</v>
      </c>
      <c r="L391" s="3">
        <f>14947721/10^8</f>
        <v>0.14947721</v>
      </c>
      <c r="M391" s="3">
        <f>42016682/10^7</f>
        <v>4.2016682000000003</v>
      </c>
      <c r="N391" s="5"/>
    </row>
    <row r="392" spans="1:14" x14ac:dyDescent="0.3">
      <c r="A392" s="7">
        <v>44631.0625</v>
      </c>
      <c r="B392" s="7">
        <v>44631.072916666664</v>
      </c>
      <c r="C392" s="3">
        <f>10067896/10^5</f>
        <v>100.67896</v>
      </c>
      <c r="D392" s="3">
        <f>512699/10^4</f>
        <v>51.2699</v>
      </c>
      <c r="E392" s="3"/>
      <c r="F392" s="3"/>
      <c r="G392" s="3">
        <f>4940906/10^5</f>
        <v>49.409059999999997</v>
      </c>
      <c r="H392" s="3">
        <f>2590028965/10^7</f>
        <v>259.00289650000002</v>
      </c>
      <c r="I392" s="3">
        <f t="shared" si="25"/>
        <v>259</v>
      </c>
      <c r="J392" s="3">
        <f>16061/10^2</f>
        <v>160.61000000000001</v>
      </c>
      <c r="K392" s="3">
        <f>963186594/10^8</f>
        <v>9.6318659400000008</v>
      </c>
      <c r="L392" s="3">
        <f>2190422/10^7</f>
        <v>0.21904219999999999</v>
      </c>
      <c r="M392" s="3">
        <f>375411037/10^8</f>
        <v>3.7541103699999998</v>
      </c>
      <c r="N392" s="5"/>
    </row>
    <row r="393" spans="1:14" x14ac:dyDescent="0.3">
      <c r="A393" s="7">
        <v>44631.072916666664</v>
      </c>
      <c r="B393" s="7">
        <v>44631.083333333336</v>
      </c>
      <c r="C393" s="3">
        <f>1118361/10^4</f>
        <v>111.8361</v>
      </c>
      <c r="D393" s="3">
        <f>6633202/10^5</f>
        <v>66.33202</v>
      </c>
      <c r="E393" s="3"/>
      <c r="F393" s="3"/>
      <c r="G393" s="3">
        <f>4550408/10^5</f>
        <v>45.504080000000002</v>
      </c>
      <c r="H393" s="3">
        <f>2614299567/10^7</f>
        <v>261.42995669999999</v>
      </c>
      <c r="I393" s="3">
        <f t="shared" si="25"/>
        <v>259</v>
      </c>
      <c r="J393" s="3">
        <f>15656/10^2</f>
        <v>156.56</v>
      </c>
      <c r="K393" s="3">
        <f>973853682/10^8</f>
        <v>9.7385368200000002</v>
      </c>
      <c r="L393" s="3">
        <f>2188706/10^7</f>
        <v>0.2188706</v>
      </c>
      <c r="M393" s="3">
        <f>533123067/10^8</f>
        <v>5.3312306700000001</v>
      </c>
      <c r="N393" s="5"/>
    </row>
    <row r="394" spans="1:14" x14ac:dyDescent="0.3">
      <c r="A394" s="7">
        <v>44631.083333333336</v>
      </c>
      <c r="B394" s="7">
        <v>44631.09375</v>
      </c>
      <c r="C394" s="3">
        <f>11880939/10^5</f>
        <v>118.80938999999999</v>
      </c>
      <c r="D394" s="3">
        <f>6793883/10^5</f>
        <v>67.938829999999996</v>
      </c>
      <c r="E394" s="3"/>
      <c r="F394" s="3"/>
      <c r="G394" s="3">
        <f>5087056/10^5</f>
        <v>50.870559999999998</v>
      </c>
      <c r="H394" s="3">
        <f>2590024455/10^7</f>
        <v>259.00244550000002</v>
      </c>
      <c r="I394" s="3">
        <f t="shared" si="25"/>
        <v>259</v>
      </c>
      <c r="J394" s="3">
        <f>1498/10^1</f>
        <v>149.80000000000001</v>
      </c>
      <c r="K394" s="3">
        <f>957914089/10^8</f>
        <v>9.5791408899999997</v>
      </c>
      <c r="L394" s="3">
        <f>31244218/10^8</f>
        <v>0.31244218000000001</v>
      </c>
      <c r="M394" s="3">
        <f>630690526/10^8</f>
        <v>6.3069052599999997</v>
      </c>
      <c r="N394" s="5"/>
    </row>
    <row r="395" spans="1:14" x14ac:dyDescent="0.3">
      <c r="A395" s="7">
        <v>44631.09375</v>
      </c>
      <c r="B395" s="7">
        <v>44631.104166666664</v>
      </c>
      <c r="C395" s="3">
        <f>10077382/10^5</f>
        <v>100.77382</v>
      </c>
      <c r="D395" s="3">
        <f>3833855/10^5</f>
        <v>38.338549999999998</v>
      </c>
      <c r="E395" s="3"/>
      <c r="F395" s="3"/>
      <c r="G395" s="3">
        <f>6243527/10^5</f>
        <v>62.435270000000003</v>
      </c>
      <c r="H395" s="3">
        <f>2590028516/10^7</f>
        <v>259.00285159999999</v>
      </c>
      <c r="I395" s="3">
        <f t="shared" si="25"/>
        <v>259</v>
      </c>
      <c r="J395" s="3">
        <f>16041/10^2</f>
        <v>160.41</v>
      </c>
      <c r="K395" s="3">
        <f>1005684167/10^8</f>
        <v>10.056841670000001</v>
      </c>
      <c r="L395" s="3">
        <f>30668638/10^8</f>
        <v>0.30668637999999998</v>
      </c>
      <c r="M395" s="3">
        <f>330814447/10^8</f>
        <v>3.3081444699999998</v>
      </c>
      <c r="N395" s="5"/>
    </row>
    <row r="396" spans="1:14" x14ac:dyDescent="0.3">
      <c r="A396" s="7">
        <v>44631.104166666664</v>
      </c>
      <c r="B396" s="7">
        <v>44631.114583333336</v>
      </c>
      <c r="C396" s="3">
        <f>8533241/10^5</f>
        <v>85.332409999999996</v>
      </c>
      <c r="D396" s="3">
        <f>4309705/10^5</f>
        <v>43.097050000000003</v>
      </c>
      <c r="E396" s="3"/>
      <c r="F396" s="3"/>
      <c r="G396" s="3">
        <f>4223536/10^5</f>
        <v>42.23536</v>
      </c>
      <c r="H396" s="3">
        <f>259/10^0</f>
        <v>259</v>
      </c>
      <c r="I396" s="3">
        <f t="shared" si="25"/>
        <v>259</v>
      </c>
      <c r="J396" s="3">
        <f>15219/10^2</f>
        <v>152.19</v>
      </c>
      <c r="K396" s="3">
        <f>1022129085/10^8</f>
        <v>10.221290850000001</v>
      </c>
      <c r="L396" s="3">
        <f>34406789/10^8</f>
        <v>0.34406788999999999</v>
      </c>
      <c r="M396" s="3">
        <f>380875795/10^8</f>
        <v>3.8087579499999999</v>
      </c>
      <c r="N396" s="5"/>
    </row>
    <row r="397" spans="1:14" x14ac:dyDescent="0.3">
      <c r="A397" s="7">
        <v>44631.114583333336</v>
      </c>
      <c r="B397" s="7">
        <v>44631.125</v>
      </c>
      <c r="C397" s="3">
        <f>9099997/10^5</f>
        <v>90.999970000000005</v>
      </c>
      <c r="D397" s="3">
        <f>7980554/10^5</f>
        <v>79.805539999999993</v>
      </c>
      <c r="E397" s="3"/>
      <c r="F397" s="3"/>
      <c r="G397" s="3">
        <f>1119443/10^5</f>
        <v>11.194430000000001</v>
      </c>
      <c r="H397" s="3">
        <f>2579617798/10^7</f>
        <v>257.96177979999999</v>
      </c>
      <c r="I397" s="3">
        <f>0/10^0</f>
        <v>0</v>
      </c>
      <c r="J397" s="3">
        <f>1497/10^1</f>
        <v>149.69999999999999</v>
      </c>
      <c r="K397" s="3">
        <f>1023604078/10^8</f>
        <v>10.23604078</v>
      </c>
      <c r="L397" s="3">
        <f>35326557/10^8</f>
        <v>0.35326556999999997</v>
      </c>
      <c r="M397" s="3">
        <f>637200849/10^8</f>
        <v>6.3720084899999998</v>
      </c>
      <c r="N397" s="5"/>
    </row>
    <row r="398" spans="1:14" x14ac:dyDescent="0.3">
      <c r="A398" s="7">
        <v>44631.125</v>
      </c>
      <c r="B398" s="7">
        <v>44631.135416666664</v>
      </c>
      <c r="C398" s="3">
        <f>12099537/10^5</f>
        <v>120.99536999999999</v>
      </c>
      <c r="D398" s="3">
        <f>8736436/10^5</f>
        <v>87.364360000000005</v>
      </c>
      <c r="E398" s="3"/>
      <c r="F398" s="3"/>
      <c r="G398" s="3">
        <f>3363101/10^5</f>
        <v>33.631010000000003</v>
      </c>
      <c r="H398" s="3">
        <f t="shared" ref="H398:I403" si="26">259/10^0</f>
        <v>259</v>
      </c>
      <c r="I398" s="3">
        <f t="shared" si="26"/>
        <v>259</v>
      </c>
      <c r="J398" s="3">
        <f>0/10^0</f>
        <v>0</v>
      </c>
      <c r="K398" s="3">
        <f>1055921991/10^8</f>
        <v>10.559219909999999</v>
      </c>
      <c r="L398" s="3">
        <f>40543805/10^8</f>
        <v>0.40543804999999999</v>
      </c>
      <c r="M398" s="3">
        <f>1705899294/10^8</f>
        <v>17.05899294</v>
      </c>
      <c r="N398" s="5"/>
    </row>
    <row r="399" spans="1:14" x14ac:dyDescent="0.3">
      <c r="A399" s="7">
        <v>44631.135416666664</v>
      </c>
      <c r="B399" s="7">
        <v>44631.145833333336</v>
      </c>
      <c r="C399" s="3">
        <f>11668793/10^5</f>
        <v>116.68792999999999</v>
      </c>
      <c r="D399" s="3">
        <f>4654901/10^5</f>
        <v>46.549010000000003</v>
      </c>
      <c r="E399" s="3"/>
      <c r="F399" s="3"/>
      <c r="G399" s="3">
        <f>7013892/10^5</f>
        <v>70.138919999999999</v>
      </c>
      <c r="H399" s="3">
        <f t="shared" si="26"/>
        <v>259</v>
      </c>
      <c r="I399" s="3">
        <f t="shared" si="26"/>
        <v>259</v>
      </c>
      <c r="J399" s="3">
        <f>15219/10^2</f>
        <v>152.19</v>
      </c>
      <c r="K399" s="3">
        <f>1040187287/10^8</f>
        <v>10.40187287</v>
      </c>
      <c r="L399" s="3">
        <f>41458355/10^8</f>
        <v>0.41458355000000002</v>
      </c>
      <c r="M399" s="3">
        <f>47850194/10^7</f>
        <v>4.7850194000000004</v>
      </c>
      <c r="N399" s="5"/>
    </row>
    <row r="400" spans="1:14" x14ac:dyDescent="0.3">
      <c r="A400" s="7">
        <v>44631.145833333336</v>
      </c>
      <c r="B400" s="7">
        <v>44631.15625</v>
      </c>
      <c r="C400" s="3">
        <f>891022/10^4</f>
        <v>89.102199999999996</v>
      </c>
      <c r="D400" s="3">
        <f>6364031/10^5</f>
        <v>63.640309999999999</v>
      </c>
      <c r="E400" s="3"/>
      <c r="F400" s="3"/>
      <c r="G400" s="3">
        <f>2546189/10^5</f>
        <v>25.46189</v>
      </c>
      <c r="H400" s="3">
        <f t="shared" si="26"/>
        <v>259</v>
      </c>
      <c r="I400" s="3">
        <f t="shared" si="26"/>
        <v>259</v>
      </c>
      <c r="J400" s="3">
        <f>14952/10^2</f>
        <v>149.52000000000001</v>
      </c>
      <c r="K400" s="3">
        <f>1049664641/10^8</f>
        <v>10.49664641</v>
      </c>
      <c r="L400" s="3">
        <f>43163992/10^8</f>
        <v>0.43163992000000001</v>
      </c>
      <c r="M400" s="3">
        <f>573617372/10^8</f>
        <v>5.73617372</v>
      </c>
      <c r="N400" s="5"/>
    </row>
    <row r="401" spans="1:14" x14ac:dyDescent="0.3">
      <c r="A401" s="7">
        <v>44631.15625</v>
      </c>
      <c r="B401" s="7">
        <v>44631.166666666664</v>
      </c>
      <c r="C401" s="3">
        <f>9811549/10^5</f>
        <v>98.115489999999994</v>
      </c>
      <c r="D401" s="3">
        <f>5737252/10^5</f>
        <v>57.372520000000002</v>
      </c>
      <c r="E401" s="3"/>
      <c r="F401" s="3"/>
      <c r="G401" s="3">
        <f>4074297/10^5</f>
        <v>40.74297</v>
      </c>
      <c r="H401" s="3">
        <f t="shared" si="26"/>
        <v>259</v>
      </c>
      <c r="I401" s="3">
        <f t="shared" si="26"/>
        <v>259</v>
      </c>
      <c r="J401" s="3">
        <f>14971/10^2</f>
        <v>149.71</v>
      </c>
      <c r="K401" s="3">
        <f>1031964135/10^8</f>
        <v>10.319641349999999</v>
      </c>
      <c r="L401" s="3">
        <f>41486294/10^8</f>
        <v>0.41486294000000001</v>
      </c>
      <c r="M401" s="3">
        <f>51454126/10^7</f>
        <v>5.1454126000000002</v>
      </c>
      <c r="N401" s="5"/>
    </row>
    <row r="402" spans="1:14" x14ac:dyDescent="0.3">
      <c r="A402" s="7">
        <v>44631.166666666664</v>
      </c>
      <c r="B402" s="7">
        <v>44631.177083333336</v>
      </c>
      <c r="C402" s="3">
        <f>8918126/10^5</f>
        <v>89.181259999999995</v>
      </c>
      <c r="D402" s="3">
        <f>7711136/10^5</f>
        <v>77.111360000000005</v>
      </c>
      <c r="E402" s="3"/>
      <c r="F402" s="3"/>
      <c r="G402" s="3">
        <f>120699/10^4</f>
        <v>12.069900000000001</v>
      </c>
      <c r="H402" s="3">
        <f t="shared" si="26"/>
        <v>259</v>
      </c>
      <c r="I402" s="3">
        <f t="shared" si="26"/>
        <v>259</v>
      </c>
      <c r="J402" s="3">
        <f>11962/10^2</f>
        <v>119.62</v>
      </c>
      <c r="K402" s="3">
        <f>103661432/10^7</f>
        <v>10.3661432</v>
      </c>
      <c r="L402" s="3">
        <f>52955984/10^8</f>
        <v>0.52955984</v>
      </c>
      <c r="M402" s="3">
        <f>850131869/10^8</f>
        <v>8.5013186899999997</v>
      </c>
      <c r="N402" s="5"/>
    </row>
    <row r="403" spans="1:14" x14ac:dyDescent="0.3">
      <c r="A403" s="7">
        <v>44631.177083333336</v>
      </c>
      <c r="B403" s="7">
        <v>44631.1875</v>
      </c>
      <c r="C403" s="3">
        <f>10613736/10^5</f>
        <v>106.13736</v>
      </c>
      <c r="D403" s="3">
        <f>5966321/10^5</f>
        <v>59.663209999999999</v>
      </c>
      <c r="E403" s="3"/>
      <c r="F403" s="3"/>
      <c r="G403" s="3">
        <f>4647415/10^5</f>
        <v>46.474150000000002</v>
      </c>
      <c r="H403" s="3">
        <f t="shared" si="26"/>
        <v>259</v>
      </c>
      <c r="I403" s="3">
        <f t="shared" si="26"/>
        <v>259</v>
      </c>
      <c r="J403" s="3">
        <f>11962/10^2</f>
        <v>119.62</v>
      </c>
      <c r="K403" s="3">
        <f>1046299553/10^8</f>
        <v>10.462995530000001</v>
      </c>
      <c r="L403" s="3">
        <f>53422461/10^8</f>
        <v>0.53422460999999999</v>
      </c>
      <c r="M403" s="3">
        <f>800366365/10^8</f>
        <v>8.00366365</v>
      </c>
      <c r="N403" s="5"/>
    </row>
    <row r="404" spans="1:14" x14ac:dyDescent="0.3">
      <c r="A404" s="7">
        <v>44631.1875</v>
      </c>
      <c r="B404" s="7">
        <v>44631.197916666664</v>
      </c>
      <c r="C404" s="3">
        <f>9687674/10^5</f>
        <v>96.876739999999998</v>
      </c>
      <c r="D404" s="3">
        <f>2817524/10^5</f>
        <v>28.175239999999999</v>
      </c>
      <c r="E404" s="3"/>
      <c r="F404" s="3"/>
      <c r="G404" s="3">
        <f>687015/10^4</f>
        <v>68.701499999999996</v>
      </c>
      <c r="H404" s="3">
        <f>3037599999/10^7</f>
        <v>303.75999990000003</v>
      </c>
      <c r="I404" s="3">
        <f>30376/10^2</f>
        <v>303.76</v>
      </c>
      <c r="J404" s="3">
        <f>15219/10^2</f>
        <v>152.19</v>
      </c>
      <c r="K404" s="3">
        <f>1152264491/10^8</f>
        <v>11.52264491</v>
      </c>
      <c r="L404" s="3">
        <f>51486055/10^8</f>
        <v>0.51486054999999997</v>
      </c>
      <c r="M404" s="3">
        <f>308235822/10^8</f>
        <v>3.0823582200000001</v>
      </c>
      <c r="N404" s="5"/>
    </row>
    <row r="405" spans="1:14" x14ac:dyDescent="0.3">
      <c r="A405" s="7">
        <v>44631.197916666664</v>
      </c>
      <c r="B405" s="7">
        <v>44631.208333333336</v>
      </c>
      <c r="C405" s="3">
        <f>12137469/10^5</f>
        <v>121.37469</v>
      </c>
      <c r="D405" s="3">
        <f>363/10^1</f>
        <v>36.299999999999997</v>
      </c>
      <c r="E405" s="3"/>
      <c r="F405" s="3"/>
      <c r="G405" s="3">
        <f>8507469/10^5</f>
        <v>85.074690000000004</v>
      </c>
      <c r="H405" s="3">
        <f>5418299998/10^7</f>
        <v>541.8299998</v>
      </c>
      <c r="I405" s="3">
        <f>54183/10^2</f>
        <v>541.83000000000004</v>
      </c>
      <c r="J405" s="3">
        <f>14971/10^2</f>
        <v>149.71</v>
      </c>
      <c r="K405" s="3">
        <f>1436423244/10^8</f>
        <v>14.36423244</v>
      </c>
      <c r="L405" s="3">
        <f>50592448/10^8</f>
        <v>0.50592448000000001</v>
      </c>
      <c r="M405" s="3">
        <f>748866346/10^8</f>
        <v>7.4886634599999997</v>
      </c>
      <c r="N405" s="5"/>
    </row>
    <row r="406" spans="1:14" x14ac:dyDescent="0.3">
      <c r="A406" s="7">
        <v>44631.208333333336</v>
      </c>
      <c r="B406" s="7">
        <v>44631.21875</v>
      </c>
      <c r="C406" s="3">
        <f>10181927/10^5</f>
        <v>101.81927</v>
      </c>
      <c r="D406" s="3">
        <f>3585176/10^5</f>
        <v>35.851759999999999</v>
      </c>
      <c r="E406" s="3"/>
      <c r="F406" s="3"/>
      <c r="G406" s="3">
        <f>6596751/10^5</f>
        <v>65.967510000000004</v>
      </c>
      <c r="H406" s="3">
        <f>2660252783/10^7</f>
        <v>266.02527830000002</v>
      </c>
      <c r="I406" s="3">
        <f>259/10^0</f>
        <v>259</v>
      </c>
      <c r="J406" s="3">
        <f>1/10^1</f>
        <v>0.1</v>
      </c>
      <c r="K406" s="3">
        <f>1243663987/10^8</f>
        <v>12.43663987</v>
      </c>
      <c r="L406" s="3">
        <f>52418998/10^8</f>
        <v>0.52418998000000006</v>
      </c>
      <c r="M406" s="3">
        <f>698604312/10^8</f>
        <v>6.9860431199999997</v>
      </c>
      <c r="N406" s="5"/>
    </row>
    <row r="407" spans="1:14" x14ac:dyDescent="0.3">
      <c r="A407" s="7">
        <v>44631.21875</v>
      </c>
      <c r="B407" s="7">
        <v>44631.229166666664</v>
      </c>
      <c r="C407" s="3">
        <f>9755992/10^5</f>
        <v>97.559920000000005</v>
      </c>
      <c r="D407" s="3">
        <f>2536084/10^5</f>
        <v>25.36084</v>
      </c>
      <c r="E407" s="3"/>
      <c r="F407" s="3"/>
      <c r="G407" s="3">
        <f>7219908/10^5</f>
        <v>72.199079999999995</v>
      </c>
      <c r="H407" s="3">
        <f>2613640221/10^7</f>
        <v>261.3640221</v>
      </c>
      <c r="I407" s="3">
        <f>259/10^0</f>
        <v>259</v>
      </c>
      <c r="J407" s="3">
        <f>1/10^1</f>
        <v>0.1</v>
      </c>
      <c r="K407" s="3">
        <f>1237533214/10^8</f>
        <v>12.375332139999999</v>
      </c>
      <c r="L407" s="3">
        <f>51573875/10^8</f>
        <v>0.51573875000000002</v>
      </c>
      <c r="M407" s="3">
        <f>498321448/10^8</f>
        <v>4.98321448</v>
      </c>
      <c r="N407" s="5"/>
    </row>
    <row r="408" spans="1:14" x14ac:dyDescent="0.3">
      <c r="A408" s="7">
        <v>44631.229166666664</v>
      </c>
      <c r="B408" s="7">
        <v>44631.239583333336</v>
      </c>
      <c r="C408" s="3">
        <f>979536/10^4</f>
        <v>97.953599999999994</v>
      </c>
      <c r="D408" s="3">
        <f>1738386/10^5</f>
        <v>17.383859999999999</v>
      </c>
      <c r="E408" s="3"/>
      <c r="F408" s="3"/>
      <c r="G408" s="3">
        <f>8056974/10^5</f>
        <v>80.569739999999996</v>
      </c>
      <c r="H408" s="3">
        <f>26803662/10^5</f>
        <v>268.03662000000003</v>
      </c>
      <c r="I408" s="3">
        <f>259/10^0</f>
        <v>259</v>
      </c>
      <c r="J408" s="3">
        <f>161/10^0</f>
        <v>161</v>
      </c>
      <c r="K408" s="3">
        <f>1163044092/10^8</f>
        <v>11.63044092</v>
      </c>
      <c r="L408" s="3">
        <f>57051222/10^8</f>
        <v>0.57051222000000001</v>
      </c>
      <c r="M408" s="3">
        <f>40094535/10^8</f>
        <v>0.40094534999999998</v>
      </c>
      <c r="N408" s="5"/>
    </row>
    <row r="409" spans="1:14" x14ac:dyDescent="0.3">
      <c r="A409" s="7">
        <v>44631.239583333336</v>
      </c>
      <c r="B409" s="7">
        <v>44631.25</v>
      </c>
      <c r="C409" s="3">
        <f>1541405/10^4</f>
        <v>154.1405</v>
      </c>
      <c r="D409" s="3">
        <f>4579107/10^5</f>
        <v>45.791069999999998</v>
      </c>
      <c r="E409" s="3"/>
      <c r="F409" s="3"/>
      <c r="G409" s="3">
        <f>10834943/10^5</f>
        <v>108.34943</v>
      </c>
      <c r="H409" s="3">
        <f>3073613101/10^7</f>
        <v>307.36131010000003</v>
      </c>
      <c r="I409" s="3">
        <f>3053/10^1</f>
        <v>305.3</v>
      </c>
      <c r="J409" s="3">
        <f>16061/10^2</f>
        <v>160.61000000000001</v>
      </c>
      <c r="K409" s="3">
        <f>1177528476/10^8</f>
        <v>11.77528476</v>
      </c>
      <c r="L409" s="3">
        <f>5954582/10^7</f>
        <v>0.59545820000000005</v>
      </c>
      <c r="M409" s="3">
        <f>254576123/10^8</f>
        <v>2.5457612300000001</v>
      </c>
      <c r="N409" s="5"/>
    </row>
    <row r="410" spans="1:14" x14ac:dyDescent="0.3">
      <c r="A410" s="7">
        <v>44631.25</v>
      </c>
      <c r="B410" s="7">
        <v>44631.260416666664</v>
      </c>
      <c r="C410" s="3">
        <f>9912787/10^5</f>
        <v>99.127870000000001</v>
      </c>
      <c r="D410" s="3">
        <f>9359854/10^5</f>
        <v>93.59854</v>
      </c>
      <c r="E410" s="3"/>
      <c r="F410" s="3"/>
      <c r="G410" s="3">
        <f>552933/10^5</f>
        <v>5.5293299999999999</v>
      </c>
      <c r="H410" s="3">
        <f>3741643222/10^7</f>
        <v>374.16432220000002</v>
      </c>
      <c r="I410" s="3">
        <f>36836/10^2</f>
        <v>368.36</v>
      </c>
      <c r="J410" s="3">
        <f>14692/10^2</f>
        <v>146.91999999999999</v>
      </c>
      <c r="K410" s="3">
        <f>158399907/10^7</f>
        <v>15.8399907</v>
      </c>
      <c r="L410" s="3">
        <f>345201295/10^8</f>
        <v>3.4520129499999999</v>
      </c>
      <c r="M410" s="3">
        <f>1387599271/10^8</f>
        <v>13.87599271</v>
      </c>
      <c r="N410" s="5"/>
    </row>
    <row r="411" spans="1:14" x14ac:dyDescent="0.3">
      <c r="A411" s="7">
        <v>44631.260416666664</v>
      </c>
      <c r="B411" s="7">
        <v>44631.270833333336</v>
      </c>
      <c r="C411" s="3">
        <f>15966024/10^5</f>
        <v>159.66023999999999</v>
      </c>
      <c r="D411" s="3">
        <f>802174/10^4</f>
        <v>80.217399999999998</v>
      </c>
      <c r="E411" s="3"/>
      <c r="F411" s="3"/>
      <c r="G411" s="3">
        <f>7944284/10^5</f>
        <v>79.442840000000004</v>
      </c>
      <c r="H411" s="3">
        <f>3742937372/10^7</f>
        <v>374.29373720000001</v>
      </c>
      <c r="I411" s="3">
        <f>36836/10^2</f>
        <v>368.36</v>
      </c>
      <c r="J411" s="3">
        <f>14692/10^2</f>
        <v>146.91999999999999</v>
      </c>
      <c r="K411" s="3">
        <f>1529608947/10^8</f>
        <v>15.29608947</v>
      </c>
      <c r="L411" s="3">
        <f>340854186/10^8</f>
        <v>3.4085418600000001</v>
      </c>
      <c r="M411" s="3">
        <f>135322918/10^7</f>
        <v>13.532291799999999</v>
      </c>
      <c r="N411" s="5"/>
    </row>
    <row r="412" spans="1:14" x14ac:dyDescent="0.3">
      <c r="A412" s="7">
        <v>44631.270833333336</v>
      </c>
      <c r="B412" s="7">
        <v>44631.28125</v>
      </c>
      <c r="C412" s="3">
        <f>16494754/10^5</f>
        <v>164.94754</v>
      </c>
      <c r="D412" s="3">
        <f>461109/10^4</f>
        <v>46.110900000000001</v>
      </c>
      <c r="E412" s="3"/>
      <c r="F412" s="3"/>
      <c r="G412" s="3">
        <f>11883664/10^5</f>
        <v>118.83664</v>
      </c>
      <c r="H412" s="3">
        <f>3690021612/10^7</f>
        <v>369.00216119999999</v>
      </c>
      <c r="I412" s="3">
        <f>36836/10^2</f>
        <v>368.36</v>
      </c>
      <c r="J412" s="3">
        <f>16061/10^2</f>
        <v>160.61000000000001</v>
      </c>
      <c r="K412" s="3">
        <f>1479848144/10^8</f>
        <v>14.79848144</v>
      </c>
      <c r="L412" s="3">
        <f>28125478/10^7</f>
        <v>2.8125477999999999</v>
      </c>
      <c r="M412" s="3">
        <f>645023621/10^8</f>
        <v>6.4502362099999999</v>
      </c>
      <c r="N412" s="5"/>
    </row>
    <row r="413" spans="1:14" x14ac:dyDescent="0.3">
      <c r="A413" s="7">
        <v>44631.28125</v>
      </c>
      <c r="B413" s="7">
        <v>44631.291666666664</v>
      </c>
      <c r="C413" s="3">
        <f>14445943/10^5</f>
        <v>144.45943</v>
      </c>
      <c r="D413" s="3">
        <f>3797905/10^5</f>
        <v>37.979050000000001</v>
      </c>
      <c r="E413" s="3"/>
      <c r="F413" s="3"/>
      <c r="G413" s="3">
        <f>10648038/10^5</f>
        <v>106.48038</v>
      </c>
      <c r="H413" s="3">
        <f>3703073824/10^7</f>
        <v>370.30738239999999</v>
      </c>
      <c r="I413" s="3">
        <f>37006/10^2</f>
        <v>370.06</v>
      </c>
      <c r="J413" s="3">
        <f>16061/10^2</f>
        <v>160.61000000000001</v>
      </c>
      <c r="K413" s="3">
        <f>1429473772/10^8</f>
        <v>14.294737720000001</v>
      </c>
      <c r="L413" s="3">
        <f>287031985/10^8</f>
        <v>2.87031985</v>
      </c>
      <c r="M413" s="3">
        <f>709881298/10^8</f>
        <v>7.0988129799999999</v>
      </c>
      <c r="N413" s="5"/>
    </row>
    <row r="414" spans="1:14" x14ac:dyDescent="0.3">
      <c r="A414" s="7">
        <v>44631.291666666664</v>
      </c>
      <c r="B414" s="7">
        <v>44631.302083333336</v>
      </c>
      <c r="C414" s="3">
        <f>15939226/10^5</f>
        <v>159.39225999999999</v>
      </c>
      <c r="D414" s="3">
        <f>5076045/10^5</f>
        <v>50.760449999999999</v>
      </c>
      <c r="E414" s="3"/>
      <c r="F414" s="3"/>
      <c r="G414" s="3">
        <f>10863181/10^5</f>
        <v>108.63181</v>
      </c>
      <c r="H414" s="3">
        <f>3729596469/10^7</f>
        <v>372.9596469</v>
      </c>
      <c r="I414" s="3">
        <f>37295/10^2</f>
        <v>372.95</v>
      </c>
      <c r="J414" s="3">
        <f>14919/10^2</f>
        <v>149.19</v>
      </c>
      <c r="K414" s="3">
        <f>140141675/10^7</f>
        <v>14.014167499999999</v>
      </c>
      <c r="L414" s="3">
        <f>268851685/10^8</f>
        <v>2.6885168500000001</v>
      </c>
      <c r="M414" s="3">
        <f>530468339/10^8</f>
        <v>5.3046833900000001</v>
      </c>
      <c r="N414" s="5"/>
    </row>
    <row r="415" spans="1:14" x14ac:dyDescent="0.3">
      <c r="A415" s="7">
        <v>44631.302083333336</v>
      </c>
      <c r="B415" s="7">
        <v>44631.3125</v>
      </c>
      <c r="C415" s="3">
        <f>18037869/10^5</f>
        <v>180.37869000000001</v>
      </c>
      <c r="D415" s="3">
        <f>8033599/10^5</f>
        <v>80.335989999999995</v>
      </c>
      <c r="E415" s="3"/>
      <c r="F415" s="3"/>
      <c r="G415" s="3">
        <f>1000427/10^4</f>
        <v>100.0427</v>
      </c>
      <c r="H415" s="3">
        <f>8489999999/10^7</f>
        <v>848.99999990000003</v>
      </c>
      <c r="I415" s="3">
        <f>849/10^0</f>
        <v>849</v>
      </c>
      <c r="J415" s="3">
        <f>0/10^0</f>
        <v>0</v>
      </c>
      <c r="K415" s="3">
        <f>1908106774/10^8</f>
        <v>19.081067740000002</v>
      </c>
      <c r="L415" s="3">
        <f>258202487/10^8</f>
        <v>2.5820248700000001</v>
      </c>
      <c r="M415" s="3">
        <f>3926475859/10^8</f>
        <v>39.26475859</v>
      </c>
      <c r="N415" s="5"/>
    </row>
    <row r="416" spans="1:14" x14ac:dyDescent="0.3">
      <c r="A416" s="7">
        <v>44631.3125</v>
      </c>
      <c r="B416" s="7">
        <v>44631.322916666664</v>
      </c>
      <c r="C416" s="3">
        <f>12273233/10^5</f>
        <v>122.73233</v>
      </c>
      <c r="D416" s="3">
        <f>5742278/10^5</f>
        <v>57.422780000000003</v>
      </c>
      <c r="E416" s="3"/>
      <c r="F416" s="3"/>
      <c r="G416" s="3">
        <f>6530955/10^5</f>
        <v>65.309550000000002</v>
      </c>
      <c r="H416" s="3">
        <f>3725668086/10^7</f>
        <v>372.5668086</v>
      </c>
      <c r="I416" s="3">
        <f>37255/10^2</f>
        <v>372.55</v>
      </c>
      <c r="J416" s="3">
        <f>14951/10^2</f>
        <v>149.51</v>
      </c>
      <c r="K416" s="3">
        <f>1346756948/10^8</f>
        <v>13.46756948</v>
      </c>
      <c r="L416" s="3">
        <f>249805152/10^8</f>
        <v>2.4980515200000002</v>
      </c>
      <c r="M416" s="3">
        <f>666549906/10^8</f>
        <v>6.6654990600000001</v>
      </c>
      <c r="N416" s="5"/>
    </row>
    <row r="417" spans="1:14" x14ac:dyDescent="0.3">
      <c r="A417" s="7">
        <v>44631.322916666664</v>
      </c>
      <c r="B417" s="7">
        <v>44631.333333333336</v>
      </c>
      <c r="C417" s="3">
        <f>10501292/10^5</f>
        <v>105.01291999999999</v>
      </c>
      <c r="D417" s="3">
        <f>6126073/10^5</f>
        <v>61.260730000000002</v>
      </c>
      <c r="E417" s="3"/>
      <c r="F417" s="3"/>
      <c r="G417" s="3">
        <f>4375219/10^5</f>
        <v>43.752189999999999</v>
      </c>
      <c r="H417" s="3">
        <f>3729088982/10^7</f>
        <v>372.90889820000001</v>
      </c>
      <c r="I417" s="3">
        <f>37255/10^2</f>
        <v>372.55</v>
      </c>
      <c r="J417" s="3">
        <f>14951/10^2</f>
        <v>149.51</v>
      </c>
      <c r="K417" s="3">
        <f>1117487841/10^8</f>
        <v>11.17487841</v>
      </c>
      <c r="L417" s="3">
        <f>250262608/10^8</f>
        <v>2.5026260800000002</v>
      </c>
      <c r="M417" s="3">
        <f>954743705/10^8</f>
        <v>9.5474370499999992</v>
      </c>
      <c r="N417" s="5"/>
    </row>
    <row r="418" spans="1:14" x14ac:dyDescent="0.3">
      <c r="A418" s="7">
        <v>44631.333333333336</v>
      </c>
      <c r="B418" s="7">
        <v>44631.34375</v>
      </c>
      <c r="C418" s="3">
        <f>18482468/10^5</f>
        <v>184.82468</v>
      </c>
      <c r="D418" s="3">
        <f>3517487/10^5</f>
        <v>35.174869999999999</v>
      </c>
      <c r="E418" s="3"/>
      <c r="F418" s="3"/>
      <c r="G418" s="3">
        <f>14964981/10^5</f>
        <v>149.64981</v>
      </c>
      <c r="H418" s="3">
        <f>3991109125/10^7</f>
        <v>399.11091249999998</v>
      </c>
      <c r="I418" s="3">
        <f>399/10^0</f>
        <v>399</v>
      </c>
      <c r="J418" s="3">
        <f>14951/10^2</f>
        <v>149.51</v>
      </c>
      <c r="K418" s="3">
        <f>1036529952/10^8</f>
        <v>10.365299520000001</v>
      </c>
      <c r="L418" s="3">
        <f>216639744/10^8</f>
        <v>2.1663974399999999</v>
      </c>
      <c r="M418" s="3">
        <f>304723062/10^8</f>
        <v>3.0472306200000001</v>
      </c>
      <c r="N418" s="5"/>
    </row>
    <row r="419" spans="1:14" x14ac:dyDescent="0.3">
      <c r="A419" s="7">
        <v>44631.34375</v>
      </c>
      <c r="B419" s="7">
        <v>44631.354166666664</v>
      </c>
      <c r="C419" s="3">
        <f>15893766/10^5</f>
        <v>158.93765999999999</v>
      </c>
      <c r="D419" s="3">
        <f>7179926/10^5</f>
        <v>71.799260000000004</v>
      </c>
      <c r="E419" s="3"/>
      <c r="F419" s="3"/>
      <c r="G419" s="3">
        <f>871384/10^4</f>
        <v>87.138400000000004</v>
      </c>
      <c r="H419" s="3">
        <f>3423225686/10^7</f>
        <v>342.32256860000001</v>
      </c>
      <c r="I419" s="3">
        <f>34232/10^2</f>
        <v>342.32</v>
      </c>
      <c r="J419" s="3">
        <f>14951/10^2</f>
        <v>149.51</v>
      </c>
      <c r="K419" s="3">
        <f>100065651/10^7</f>
        <v>10.0065651</v>
      </c>
      <c r="L419" s="3">
        <f>212340886/10^8</f>
        <v>2.1234088600000001</v>
      </c>
      <c r="M419" s="3">
        <f>1037512093/10^8</f>
        <v>10.37512093</v>
      </c>
      <c r="N419" s="5"/>
    </row>
    <row r="420" spans="1:14" x14ac:dyDescent="0.3">
      <c r="A420" s="7">
        <v>44631.354166666664</v>
      </c>
      <c r="B420" s="7">
        <v>44631.364583333336</v>
      </c>
      <c r="C420" s="3">
        <f>15642336/10^5</f>
        <v>156.42336</v>
      </c>
      <c r="D420" s="3">
        <f>8388508/10^5</f>
        <v>83.885080000000002</v>
      </c>
      <c r="E420" s="3"/>
      <c r="F420" s="3"/>
      <c r="G420" s="3">
        <f>7253828/10^5</f>
        <v>72.53828</v>
      </c>
      <c r="H420" s="3">
        <f>3407080518/10^7</f>
        <v>340.70805180000002</v>
      </c>
      <c r="I420" s="3">
        <f>33992/10^2</f>
        <v>339.92</v>
      </c>
      <c r="J420" s="3">
        <f>149/10^0</f>
        <v>149</v>
      </c>
      <c r="K420" s="3">
        <f>952127704/10^8</f>
        <v>9.5212770399999993</v>
      </c>
      <c r="L420" s="3">
        <f>181415097/10^8</f>
        <v>1.81415097</v>
      </c>
      <c r="M420" s="3">
        <f>797542489/10^8</f>
        <v>7.9754248900000002</v>
      </c>
      <c r="N420" s="5"/>
    </row>
    <row r="421" spans="1:14" x14ac:dyDescent="0.3">
      <c r="A421" s="7">
        <v>44631.364583333336</v>
      </c>
      <c r="B421" s="7">
        <v>44631.375</v>
      </c>
      <c r="C421" s="3">
        <f>17422177/10^5</f>
        <v>174.22176999999999</v>
      </c>
      <c r="D421" s="3">
        <f>12568944/10^5</f>
        <v>125.68944</v>
      </c>
      <c r="E421" s="3"/>
      <c r="F421" s="3"/>
      <c r="G421" s="3">
        <f>4853233/10^5</f>
        <v>48.532330000000002</v>
      </c>
      <c r="H421" s="3">
        <f>3400991055/10^7</f>
        <v>340.09910550000001</v>
      </c>
      <c r="I421" s="3">
        <f>33992/10^2</f>
        <v>339.92</v>
      </c>
      <c r="J421" s="3">
        <f>14951/10^2</f>
        <v>149.51</v>
      </c>
      <c r="K421" s="3">
        <f>985345835/10^8</f>
        <v>9.8534583500000004</v>
      </c>
      <c r="L421" s="3">
        <f>175280997/10^8</f>
        <v>1.7528099699999999</v>
      </c>
      <c r="M421" s="3">
        <f>1265816627/10^8</f>
        <v>12.658166270000001</v>
      </c>
      <c r="N421" s="5"/>
    </row>
    <row r="422" spans="1:14" x14ac:dyDescent="0.3">
      <c r="A422" s="7">
        <v>44631.375</v>
      </c>
      <c r="B422" s="7">
        <v>44631.385416666664</v>
      </c>
      <c r="C422" s="3">
        <f>21766768/10^5</f>
        <v>217.66767999999999</v>
      </c>
      <c r="D422" s="3">
        <f>16175888/10^5</f>
        <v>161.75888</v>
      </c>
      <c r="E422" s="3"/>
      <c r="F422" s="3"/>
      <c r="G422" s="3">
        <f>559088/10^4</f>
        <v>55.908799999999999</v>
      </c>
      <c r="H422" s="3">
        <f>3174501156/10^7</f>
        <v>317.4501156</v>
      </c>
      <c r="I422" s="3">
        <f>30775/10^2</f>
        <v>307.75</v>
      </c>
      <c r="J422" s="3">
        <f>14951/10^2</f>
        <v>149.51</v>
      </c>
      <c r="K422" s="3">
        <f>841775709/10^8</f>
        <v>8.4177570900000003</v>
      </c>
      <c r="L422" s="3">
        <f>140825526/10^8</f>
        <v>1.40825526</v>
      </c>
      <c r="M422" s="3">
        <f>1445875565/10^8</f>
        <v>14.458755650000001</v>
      </c>
      <c r="N422" s="5"/>
    </row>
    <row r="423" spans="1:14" x14ac:dyDescent="0.3">
      <c r="A423" s="7">
        <v>44631.385416666664</v>
      </c>
      <c r="B423" s="7">
        <v>44631.395833333336</v>
      </c>
      <c r="C423" s="3">
        <f>18327911/10^5</f>
        <v>183.27911</v>
      </c>
      <c r="D423" s="3">
        <f>12977093/10^5</f>
        <v>129.77092999999999</v>
      </c>
      <c r="E423" s="3"/>
      <c r="F423" s="3"/>
      <c r="G423" s="3">
        <f>5350818/10^5</f>
        <v>53.508180000000003</v>
      </c>
      <c r="H423" s="3">
        <f>3131789074/10^7</f>
        <v>313.17890740000001</v>
      </c>
      <c r="I423" s="3">
        <f>31135/10^2</f>
        <v>311.35000000000002</v>
      </c>
      <c r="J423" s="3">
        <f>14749/10^2</f>
        <v>147.49</v>
      </c>
      <c r="K423" s="3">
        <f>797587471/10^8</f>
        <v>7.9758747100000003</v>
      </c>
      <c r="L423" s="3">
        <f>140692669/10^8</f>
        <v>1.4069266899999999</v>
      </c>
      <c r="M423" s="3">
        <f>130578569/10^7</f>
        <v>13.057856900000001</v>
      </c>
      <c r="N423" s="5"/>
    </row>
    <row r="424" spans="1:14" x14ac:dyDescent="0.3">
      <c r="A424" s="7">
        <v>44631.395833333336</v>
      </c>
      <c r="B424" s="7">
        <v>44631.40625</v>
      </c>
      <c r="C424" s="3">
        <f>15562538/10^5</f>
        <v>155.62538000000001</v>
      </c>
      <c r="D424" s="3">
        <f>11734335/10^5</f>
        <v>117.34335</v>
      </c>
      <c r="E424" s="3"/>
      <c r="F424" s="3"/>
      <c r="G424" s="3">
        <f>3828203/10^5</f>
        <v>38.282029999999999</v>
      </c>
      <c r="H424" s="3">
        <f>3085113825/10^7</f>
        <v>308.51138250000002</v>
      </c>
      <c r="I424" s="3">
        <f>30775/10^2</f>
        <v>307.75</v>
      </c>
      <c r="J424" s="3">
        <f>16182/10^2</f>
        <v>161.82</v>
      </c>
      <c r="K424" s="3">
        <f>830489223/10^8</f>
        <v>8.3048922300000001</v>
      </c>
      <c r="L424" s="3">
        <f>14231944/10^7</f>
        <v>1.4231944000000001</v>
      </c>
      <c r="M424" s="3">
        <f>958787196/10^8</f>
        <v>9.5878719599999993</v>
      </c>
      <c r="N424" s="5"/>
    </row>
    <row r="425" spans="1:14" x14ac:dyDescent="0.3">
      <c r="A425" s="7">
        <v>44631.40625</v>
      </c>
      <c r="B425" s="7">
        <v>44631.416666666664</v>
      </c>
      <c r="C425" s="3">
        <f>12590523/10^5</f>
        <v>125.90523</v>
      </c>
      <c r="D425" s="3">
        <f>13545759/10^5</f>
        <v>135.45759000000001</v>
      </c>
      <c r="E425" s="3"/>
      <c r="F425" s="3"/>
      <c r="G425" s="3">
        <f>-955236/10^5</f>
        <v>-9.5523600000000002</v>
      </c>
      <c r="H425" s="3">
        <f>1541499306/10^7</f>
        <v>154.1499306</v>
      </c>
      <c r="I425" s="3">
        <f>30775/10^2</f>
        <v>307.75</v>
      </c>
      <c r="J425" s="3">
        <f>161/10^0</f>
        <v>161</v>
      </c>
      <c r="K425" s="3">
        <f>787167603/10^8</f>
        <v>7.8716760299999997</v>
      </c>
      <c r="L425" s="3">
        <f>142920717/10^8</f>
        <v>1.42920717</v>
      </c>
      <c r="M425" s="3">
        <f>1088438455/10^8</f>
        <v>10.88438455</v>
      </c>
      <c r="N425" s="5"/>
    </row>
    <row r="426" spans="1:14" x14ac:dyDescent="0.3">
      <c r="A426" s="7">
        <v>44631.416666666664</v>
      </c>
      <c r="B426" s="7">
        <v>44631.427083333336</v>
      </c>
      <c r="C426" s="3">
        <f>19951411/10^5</f>
        <v>199.51410999999999</v>
      </c>
      <c r="D426" s="3">
        <f>13930189/10^5</f>
        <v>139.30188999999999</v>
      </c>
      <c r="E426" s="3"/>
      <c r="F426" s="3"/>
      <c r="G426" s="3">
        <f>6021222/10^5</f>
        <v>60.212220000000002</v>
      </c>
      <c r="H426" s="3">
        <f>3060433507/10^7</f>
        <v>306.04335070000002</v>
      </c>
      <c r="I426" s="3">
        <f>3055/10^1</f>
        <v>305.5</v>
      </c>
      <c r="J426" s="3">
        <f>14981/10^2</f>
        <v>149.81</v>
      </c>
      <c r="K426" s="3">
        <f>784248904/10^8</f>
        <v>7.8424890400000002</v>
      </c>
      <c r="L426" s="3">
        <f>103037343/10^8</f>
        <v>1.03037343</v>
      </c>
      <c r="M426" s="3">
        <f>1244623331/10^8</f>
        <v>12.44623331</v>
      </c>
      <c r="N426" s="5"/>
    </row>
    <row r="427" spans="1:14" x14ac:dyDescent="0.3">
      <c r="A427" s="7">
        <v>44631.427083333336</v>
      </c>
      <c r="B427" s="7">
        <v>44631.4375</v>
      </c>
      <c r="C427" s="3">
        <f>16942896/10^5</f>
        <v>169.42895999999999</v>
      </c>
      <c r="D427" s="3">
        <f>10960467/10^5</f>
        <v>109.60467</v>
      </c>
      <c r="E427" s="3"/>
      <c r="F427" s="3"/>
      <c r="G427" s="3">
        <f>5982429/10^5</f>
        <v>59.824289999999998</v>
      </c>
      <c r="H427" s="3">
        <f>3056120056/10^7</f>
        <v>305.61200559999997</v>
      </c>
      <c r="I427" s="3">
        <f>3055/10^1</f>
        <v>305.5</v>
      </c>
      <c r="J427" s="3">
        <f>15656/10^2</f>
        <v>156.56</v>
      </c>
      <c r="K427" s="3">
        <f>740464655/10^8</f>
        <v>7.4046465499999998</v>
      </c>
      <c r="L427" s="3">
        <f>101839733/10^8</f>
        <v>1.01839733</v>
      </c>
      <c r="M427" s="3">
        <f>864187702/10^8</f>
        <v>8.6418770200000008</v>
      </c>
      <c r="N427" s="5"/>
    </row>
    <row r="428" spans="1:14" x14ac:dyDescent="0.3">
      <c r="A428" s="7">
        <v>44631.4375</v>
      </c>
      <c r="B428" s="7">
        <v>44631.447916666664</v>
      </c>
      <c r="C428" s="3">
        <f>1807141/10^4</f>
        <v>180.7141</v>
      </c>
      <c r="D428" s="3">
        <f>11014678/10^5</f>
        <v>110.14678000000001</v>
      </c>
      <c r="E428" s="3"/>
      <c r="F428" s="3"/>
      <c r="G428" s="3">
        <f>7056732/10^5</f>
        <v>70.567319999999995</v>
      </c>
      <c r="H428" s="3">
        <f>3055694831/10^7</f>
        <v>305.56948310000001</v>
      </c>
      <c r="I428" s="3">
        <f t="shared" ref="I428:I441" si="27">3053/10^1</f>
        <v>305.3</v>
      </c>
      <c r="J428" s="3">
        <f>15656/10^2</f>
        <v>156.56</v>
      </c>
      <c r="K428" s="3">
        <f>761640953/10^8</f>
        <v>7.6164095300000003</v>
      </c>
      <c r="L428" s="3">
        <f>102748805/10^8</f>
        <v>1.0274880500000001</v>
      </c>
      <c r="M428" s="3">
        <f>809721592/10^8</f>
        <v>8.09721592</v>
      </c>
      <c r="N428" s="5"/>
    </row>
    <row r="429" spans="1:14" x14ac:dyDescent="0.3">
      <c r="A429" s="7">
        <v>44631.447916666664</v>
      </c>
      <c r="B429" s="7">
        <v>44631.458333333336</v>
      </c>
      <c r="C429" s="3">
        <f>14827715/10^5</f>
        <v>148.27715000000001</v>
      </c>
      <c r="D429" s="3">
        <f>9690777/10^5</f>
        <v>96.907769999999999</v>
      </c>
      <c r="E429" s="3"/>
      <c r="F429" s="3"/>
      <c r="G429" s="3">
        <f>5136938/10^5</f>
        <v>51.36938</v>
      </c>
      <c r="H429" s="3">
        <f>305479568/10^6</f>
        <v>305.47956799999997</v>
      </c>
      <c r="I429" s="3">
        <f t="shared" si="27"/>
        <v>305.3</v>
      </c>
      <c r="J429" s="3">
        <f>161/10^0</f>
        <v>161</v>
      </c>
      <c r="K429" s="3">
        <f>708747831/10^8</f>
        <v>7.0874783099999998</v>
      </c>
      <c r="L429" s="3">
        <f>102382369/10^8</f>
        <v>1.02382369</v>
      </c>
      <c r="M429" s="3">
        <f>615670327/10^8</f>
        <v>6.1567032700000004</v>
      </c>
      <c r="N429" s="5"/>
    </row>
    <row r="430" spans="1:14" x14ac:dyDescent="0.3">
      <c r="A430" s="7">
        <v>44631.458333333336</v>
      </c>
      <c r="B430" s="7">
        <v>44631.46875</v>
      </c>
      <c r="C430" s="3">
        <f>17353945/10^5</f>
        <v>173.53944999999999</v>
      </c>
      <c r="D430" s="3">
        <f>860239/10^4</f>
        <v>86.023899999999998</v>
      </c>
      <c r="E430" s="3"/>
      <c r="F430" s="3"/>
      <c r="G430" s="3">
        <f>8751555/10^5</f>
        <v>87.515550000000005</v>
      </c>
      <c r="H430" s="3">
        <f>306243374/10^6</f>
        <v>306.24337400000002</v>
      </c>
      <c r="I430" s="3">
        <f t="shared" si="27"/>
        <v>305.3</v>
      </c>
      <c r="J430" s="3">
        <f>156/10^0</f>
        <v>156</v>
      </c>
      <c r="K430" s="3">
        <f>736642565/10^8</f>
        <v>7.36642565</v>
      </c>
      <c r="L430" s="3">
        <f>92695904/10^8</f>
        <v>0.92695903999999996</v>
      </c>
      <c r="M430" s="3">
        <f>770812097/10^8</f>
        <v>7.7081209700000004</v>
      </c>
      <c r="N430" s="5"/>
    </row>
    <row r="431" spans="1:14" x14ac:dyDescent="0.3">
      <c r="A431" s="7">
        <v>44631.46875</v>
      </c>
      <c r="B431" s="7">
        <v>44631.479166666664</v>
      </c>
      <c r="C431" s="3">
        <f>13767902/10^5</f>
        <v>137.67902000000001</v>
      </c>
      <c r="D431" s="3">
        <f>4812857/10^5</f>
        <v>48.128570000000003</v>
      </c>
      <c r="E431" s="3"/>
      <c r="F431" s="3"/>
      <c r="G431" s="3">
        <f>8955045/10^5</f>
        <v>89.550449999999998</v>
      </c>
      <c r="H431" s="3">
        <f>3054373216/10^7</f>
        <v>305.43732160000002</v>
      </c>
      <c r="I431" s="3">
        <f t="shared" si="27"/>
        <v>305.3</v>
      </c>
      <c r="J431" s="3">
        <f>16501/10^2</f>
        <v>165.01</v>
      </c>
      <c r="K431" s="3">
        <f>729328096/10^8</f>
        <v>7.2932809599999997</v>
      </c>
      <c r="L431" s="3">
        <f>9481682/10^7</f>
        <v>0.94816820000000002</v>
      </c>
      <c r="M431" s="3">
        <f>359207886/10^8</f>
        <v>3.59207886</v>
      </c>
      <c r="N431" s="5"/>
    </row>
    <row r="432" spans="1:14" x14ac:dyDescent="0.3">
      <c r="A432" s="7">
        <v>44631.479166666664</v>
      </c>
      <c r="B432" s="7">
        <v>44631.489583333336</v>
      </c>
      <c r="C432" s="3">
        <f>13224101/10^5</f>
        <v>132.24100999999999</v>
      </c>
      <c r="D432" s="3">
        <f>5407649/10^5</f>
        <v>54.07649</v>
      </c>
      <c r="E432" s="3"/>
      <c r="F432" s="3"/>
      <c r="G432" s="3">
        <f>7816452/10^5</f>
        <v>78.164519999999996</v>
      </c>
      <c r="H432" s="3">
        <f>3054549435/10^7</f>
        <v>305.45494350000001</v>
      </c>
      <c r="I432" s="3">
        <f t="shared" si="27"/>
        <v>305.3</v>
      </c>
      <c r="J432" s="3">
        <f>16501/10^2</f>
        <v>165.01</v>
      </c>
      <c r="K432" s="3">
        <f>675662707/10^8</f>
        <v>6.7566270700000004</v>
      </c>
      <c r="L432" s="3">
        <f>101823596/10^8</f>
        <v>1.0182359599999999</v>
      </c>
      <c r="M432" s="3">
        <f>42806608/10^7</f>
        <v>4.2806607999999997</v>
      </c>
      <c r="N432" s="5"/>
    </row>
    <row r="433" spans="1:14" x14ac:dyDescent="0.3">
      <c r="A433" s="7">
        <v>44631.489583333336</v>
      </c>
      <c r="B433" s="7">
        <v>44631.5</v>
      </c>
      <c r="C433" s="3">
        <f>11549329/10^5</f>
        <v>115.49329</v>
      </c>
      <c r="D433" s="3">
        <f>5717083/10^5</f>
        <v>57.170830000000002</v>
      </c>
      <c r="E433" s="3"/>
      <c r="F433" s="3"/>
      <c r="G433" s="3">
        <f>5832246/10^5</f>
        <v>58.32246</v>
      </c>
      <c r="H433" s="3">
        <f>3053786087/10^7</f>
        <v>305.37860869999997</v>
      </c>
      <c r="I433" s="3">
        <f t="shared" si="27"/>
        <v>305.3</v>
      </c>
      <c r="J433" s="3">
        <f>166/10^0</f>
        <v>166</v>
      </c>
      <c r="K433" s="3">
        <f>664115521/10^8</f>
        <v>6.64115521</v>
      </c>
      <c r="L433" s="3">
        <f>102329015/10^8</f>
        <v>1.02329015</v>
      </c>
      <c r="M433" s="3">
        <f>371229376/10^8</f>
        <v>3.7122937600000001</v>
      </c>
      <c r="N433" s="5"/>
    </row>
    <row r="434" spans="1:14" x14ac:dyDescent="0.3">
      <c r="A434" s="7">
        <v>44631.5</v>
      </c>
      <c r="B434" s="7">
        <v>44631.510416666664</v>
      </c>
      <c r="C434" s="3">
        <f>15846541/10^5</f>
        <v>158.46540999999999</v>
      </c>
      <c r="D434" s="3">
        <f>1378009/10^4</f>
        <v>137.80090000000001</v>
      </c>
      <c r="E434" s="3"/>
      <c r="F434" s="3"/>
      <c r="G434" s="3">
        <f>2066451/10^5</f>
        <v>20.66451</v>
      </c>
      <c r="H434" s="3">
        <f>3057678152/10^7</f>
        <v>305.76781519999997</v>
      </c>
      <c r="I434" s="3">
        <f t="shared" si="27"/>
        <v>305.3</v>
      </c>
      <c r="J434" s="3">
        <f>15892/10^2</f>
        <v>158.91999999999999</v>
      </c>
      <c r="K434" s="3">
        <f>762782568/10^8</f>
        <v>7.6278256799999999</v>
      </c>
      <c r="L434" s="3">
        <f>114818318/10^8</f>
        <v>1.14818318</v>
      </c>
      <c r="M434" s="3">
        <f>1088501693/10^8</f>
        <v>10.885016930000001</v>
      </c>
      <c r="N434" s="5"/>
    </row>
    <row r="435" spans="1:14" x14ac:dyDescent="0.3">
      <c r="A435" s="7">
        <v>44631.510416666664</v>
      </c>
      <c r="B435" s="7">
        <v>44631.520833333336</v>
      </c>
      <c r="C435" s="3">
        <f>1481499/10^4</f>
        <v>148.1499</v>
      </c>
      <c r="D435" s="3">
        <f>12602352/10^5</f>
        <v>126.02352</v>
      </c>
      <c r="E435" s="3"/>
      <c r="F435" s="3"/>
      <c r="G435" s="3">
        <f>2212638/10^5</f>
        <v>22.126380000000001</v>
      </c>
      <c r="H435" s="3">
        <f>3054552443/10^7</f>
        <v>305.4552443</v>
      </c>
      <c r="I435" s="3">
        <f t="shared" si="27"/>
        <v>305.3</v>
      </c>
      <c r="J435" s="3">
        <f>16041/10^2</f>
        <v>160.41</v>
      </c>
      <c r="K435" s="3">
        <f>761560867/10^8</f>
        <v>7.6156086700000003</v>
      </c>
      <c r="L435" s="3">
        <f>115243879/10^8</f>
        <v>1.1524387899999999</v>
      </c>
      <c r="M435" s="3">
        <f>939060173/10^8</f>
        <v>9.3906017300000002</v>
      </c>
      <c r="N435" s="5"/>
    </row>
    <row r="436" spans="1:14" x14ac:dyDescent="0.3">
      <c r="A436" s="7">
        <v>44631.520833333336</v>
      </c>
      <c r="B436" s="7">
        <v>44631.53125</v>
      </c>
      <c r="C436" s="3">
        <f>1741187/10^4</f>
        <v>174.11869999999999</v>
      </c>
      <c r="D436" s="3">
        <f>11380523/10^5</f>
        <v>113.80522999999999</v>
      </c>
      <c r="E436" s="3"/>
      <c r="F436" s="3"/>
      <c r="G436" s="3">
        <f>6031347/10^5</f>
        <v>60.313470000000002</v>
      </c>
      <c r="H436" s="3">
        <f>3060231846/10^7</f>
        <v>306.02318459999998</v>
      </c>
      <c r="I436" s="3">
        <f t="shared" si="27"/>
        <v>305.3</v>
      </c>
      <c r="J436" s="3">
        <f>16041/10^2</f>
        <v>160.41</v>
      </c>
      <c r="K436" s="3">
        <f>777110128/10^8</f>
        <v>7.7711012799999999</v>
      </c>
      <c r="L436" s="3">
        <f>114765127/10^8</f>
        <v>1.1476512699999999</v>
      </c>
      <c r="M436" s="3">
        <f>914382679/10^8</f>
        <v>9.1438267900000003</v>
      </c>
      <c r="N436" s="5"/>
    </row>
    <row r="437" spans="1:14" x14ac:dyDescent="0.3">
      <c r="A437" s="7">
        <v>44631.53125</v>
      </c>
      <c r="B437" s="7">
        <v>44631.541666666664</v>
      </c>
      <c r="C437" s="3">
        <f>14383252/10^5</f>
        <v>143.83251999999999</v>
      </c>
      <c r="D437" s="3">
        <f>8949523/10^5</f>
        <v>89.495230000000006</v>
      </c>
      <c r="E437" s="3"/>
      <c r="F437" s="3"/>
      <c r="G437" s="3">
        <f>5433729/10^5</f>
        <v>54.337290000000003</v>
      </c>
      <c r="H437" s="3">
        <f>3054172143/10^7</f>
        <v>305.41721430000001</v>
      </c>
      <c r="I437" s="3">
        <f t="shared" si="27"/>
        <v>305.3</v>
      </c>
      <c r="J437" s="3">
        <f>16182/10^2</f>
        <v>161.82</v>
      </c>
      <c r="K437" s="3">
        <f>77338203/10^7</f>
        <v>7.7338202999999996</v>
      </c>
      <c r="L437" s="3">
        <f>116468653/10^8</f>
        <v>1.16468653</v>
      </c>
      <c r="M437" s="3">
        <f>660481894/10^8</f>
        <v>6.6048189400000004</v>
      </c>
      <c r="N437" s="5"/>
    </row>
    <row r="438" spans="1:14" x14ac:dyDescent="0.3">
      <c r="A438" s="7">
        <v>44631.541666666664</v>
      </c>
      <c r="B438" s="7">
        <v>44631.552083333336</v>
      </c>
      <c r="C438" s="3">
        <f>13469285/10^5</f>
        <v>134.69284999999999</v>
      </c>
      <c r="D438" s="3">
        <f>7425651/10^5</f>
        <v>74.256510000000006</v>
      </c>
      <c r="E438" s="3"/>
      <c r="F438" s="3"/>
      <c r="G438" s="3">
        <f>6043634/10^5</f>
        <v>60.436340000000001</v>
      </c>
      <c r="H438" s="3">
        <f>3054289561/10^7</f>
        <v>305.42895609999999</v>
      </c>
      <c r="I438" s="3">
        <f t="shared" si="27"/>
        <v>305.3</v>
      </c>
      <c r="J438" s="3">
        <f>16181/10^2</f>
        <v>161.81</v>
      </c>
      <c r="K438" s="3">
        <f>77441036/10^7</f>
        <v>7.7441035999999999</v>
      </c>
      <c r="L438" s="3">
        <f>103289988/10^8</f>
        <v>1.03289988</v>
      </c>
      <c r="M438" s="3">
        <f>609376496/10^8</f>
        <v>6.0937649599999997</v>
      </c>
      <c r="N438" s="5"/>
    </row>
    <row r="439" spans="1:14" x14ac:dyDescent="0.3">
      <c r="A439" s="7">
        <v>44631.552083333336</v>
      </c>
      <c r="B439" s="7">
        <v>44631.5625</v>
      </c>
      <c r="C439" s="3">
        <f>14507411/10^5</f>
        <v>145.07410999999999</v>
      </c>
      <c r="D439" s="3">
        <f>7578603/10^5</f>
        <v>75.786029999999997</v>
      </c>
      <c r="E439" s="3"/>
      <c r="F439" s="3"/>
      <c r="G439" s="3">
        <f>6928808/10^5</f>
        <v>69.288079999999994</v>
      </c>
      <c r="H439" s="3">
        <f>3056337074/10^7</f>
        <v>305.63370739999999</v>
      </c>
      <c r="I439" s="3">
        <f t="shared" si="27"/>
        <v>305.3</v>
      </c>
      <c r="J439" s="3">
        <f>16181/10^2</f>
        <v>161.81</v>
      </c>
      <c r="K439" s="3">
        <f>768192671/10^8</f>
        <v>7.6819267099999999</v>
      </c>
      <c r="L439" s="3">
        <f>103688294/10^8</f>
        <v>1.0368829399999999</v>
      </c>
      <c r="M439" s="3">
        <f>605460199/10^8</f>
        <v>6.0546019900000001</v>
      </c>
      <c r="N439" s="5"/>
    </row>
    <row r="440" spans="1:14" x14ac:dyDescent="0.3">
      <c r="A440" s="7">
        <v>44631.5625</v>
      </c>
      <c r="B440" s="7">
        <v>44631.572916666664</v>
      </c>
      <c r="C440" s="3">
        <f>14731154/10^5</f>
        <v>147.31154000000001</v>
      </c>
      <c r="D440" s="3">
        <f>7236007/10^5</f>
        <v>72.360069999999993</v>
      </c>
      <c r="E440" s="3"/>
      <c r="F440" s="3"/>
      <c r="G440" s="3">
        <f>7495147/10^5</f>
        <v>74.95147</v>
      </c>
      <c r="H440" s="3">
        <f>3054132273/10^7</f>
        <v>305.41322730000002</v>
      </c>
      <c r="I440" s="3">
        <f t="shared" si="27"/>
        <v>305.3</v>
      </c>
      <c r="J440" s="3">
        <f>16183/10^2</f>
        <v>161.83000000000001</v>
      </c>
      <c r="K440" s="3">
        <f>790502979/10^8</f>
        <v>7.9050297900000004</v>
      </c>
      <c r="L440" s="3">
        <f>102075357/10^8</f>
        <v>1.0207535700000001</v>
      </c>
      <c r="M440" s="3">
        <f>570041726/10^8</f>
        <v>5.70041726</v>
      </c>
      <c r="N440" s="5"/>
    </row>
    <row r="441" spans="1:14" x14ac:dyDescent="0.3">
      <c r="A441" s="7">
        <v>44631.572916666664</v>
      </c>
      <c r="B441" s="7">
        <v>44631.583333333336</v>
      </c>
      <c r="C441" s="3">
        <f>15569953/10^5</f>
        <v>155.69953000000001</v>
      </c>
      <c r="D441" s="3">
        <f>8498371/10^5</f>
        <v>84.983710000000002</v>
      </c>
      <c r="E441" s="3"/>
      <c r="F441" s="3"/>
      <c r="G441" s="3">
        <f>7071582/10^5</f>
        <v>70.715819999999994</v>
      </c>
      <c r="H441" s="3">
        <f>3056565914/10^7</f>
        <v>305.65659140000002</v>
      </c>
      <c r="I441" s="3">
        <f t="shared" si="27"/>
        <v>305.3</v>
      </c>
      <c r="J441" s="3">
        <f>16181/10^2</f>
        <v>161.81</v>
      </c>
      <c r="K441" s="3">
        <f>728374201/10^8</f>
        <v>7.2837420100000001</v>
      </c>
      <c r="L441" s="3">
        <f>98240906/10^8</f>
        <v>0.98240905999999995</v>
      </c>
      <c r="M441" s="3">
        <f>634907596/10^8</f>
        <v>6.3490759600000004</v>
      </c>
      <c r="N441" s="5"/>
    </row>
    <row r="442" spans="1:14" x14ac:dyDescent="0.3">
      <c r="A442" s="7">
        <v>44631.583333333336</v>
      </c>
      <c r="B442" s="7">
        <v>44631.59375</v>
      </c>
      <c r="C442" s="3">
        <f>17145994/10^5</f>
        <v>171.45993999999999</v>
      </c>
      <c r="D442" s="3">
        <f>15711179/10^5</f>
        <v>157.11179000000001</v>
      </c>
      <c r="E442" s="3"/>
      <c r="F442" s="3"/>
      <c r="G442" s="3">
        <f>1434815/10^5</f>
        <v>14.34815</v>
      </c>
      <c r="H442" s="3">
        <f>3297053637/10^7</f>
        <v>329.70536370000002</v>
      </c>
      <c r="I442" s="3">
        <f>3289/10^1</f>
        <v>328.9</v>
      </c>
      <c r="J442" s="3">
        <f>14972/10^2</f>
        <v>149.72</v>
      </c>
      <c r="K442" s="3">
        <f>917283165/10^8</f>
        <v>9.1728316499999991</v>
      </c>
      <c r="L442" s="3">
        <f>186159063/10^8</f>
        <v>1.86159063</v>
      </c>
      <c r="M442" s="3">
        <f>1614644188/10^8</f>
        <v>16.146441880000001</v>
      </c>
      <c r="N442" s="5"/>
    </row>
    <row r="443" spans="1:14" x14ac:dyDescent="0.3">
      <c r="A443" s="7">
        <v>44631.59375</v>
      </c>
      <c r="B443" s="7">
        <v>44631.604166666664</v>
      </c>
      <c r="C443" s="3">
        <f>13017277/10^5</f>
        <v>130.17277000000001</v>
      </c>
      <c r="D443" s="3">
        <f>6491307/10^5</f>
        <v>64.913070000000005</v>
      </c>
      <c r="E443" s="3"/>
      <c r="F443" s="3"/>
      <c r="G443" s="3">
        <f>652597/10^4</f>
        <v>65.259699999999995</v>
      </c>
      <c r="H443" s="3">
        <f>3295417454/10^7</f>
        <v>329.54174540000002</v>
      </c>
      <c r="I443" s="3">
        <f>3289/10^1</f>
        <v>328.9</v>
      </c>
      <c r="J443" s="3">
        <f>16041/10^2</f>
        <v>160.41</v>
      </c>
      <c r="K443" s="3">
        <f>834401528/10^8</f>
        <v>8.3440152800000007</v>
      </c>
      <c r="L443" s="3">
        <f>183949804/10^8</f>
        <v>1.8394980400000001</v>
      </c>
      <c r="M443" s="3">
        <f>655857751/10^8</f>
        <v>6.5585775100000001</v>
      </c>
      <c r="N443" s="5"/>
    </row>
    <row r="444" spans="1:14" x14ac:dyDescent="0.3">
      <c r="A444" s="7">
        <v>44631.604166666664</v>
      </c>
      <c r="B444" s="7">
        <v>44631.614583333336</v>
      </c>
      <c r="C444" s="3">
        <f>14920973/10^5</f>
        <v>149.20973000000001</v>
      </c>
      <c r="D444" s="3">
        <f>5789732/10^5</f>
        <v>57.897320000000001</v>
      </c>
      <c r="E444" s="3"/>
      <c r="F444" s="3"/>
      <c r="G444" s="3">
        <f>9131241/10^5</f>
        <v>91.31241</v>
      </c>
      <c r="H444" s="3">
        <f>3292897607/10^7</f>
        <v>329.28976069999999</v>
      </c>
      <c r="I444" s="3">
        <f>3289/10^1</f>
        <v>328.9</v>
      </c>
      <c r="J444" s="3">
        <f>16186/10^2</f>
        <v>161.86000000000001</v>
      </c>
      <c r="K444" s="3">
        <f>848539259/10^8</f>
        <v>8.48539259</v>
      </c>
      <c r="L444" s="3">
        <f>173518018/10^8</f>
        <v>1.73518018</v>
      </c>
      <c r="M444" s="3">
        <f>63741468/10^7</f>
        <v>6.3741468000000001</v>
      </c>
      <c r="N444" s="5"/>
    </row>
    <row r="445" spans="1:14" x14ac:dyDescent="0.3">
      <c r="A445" s="7">
        <v>44631.614583333336</v>
      </c>
      <c r="B445" s="7">
        <v>44631.625</v>
      </c>
      <c r="C445" s="3">
        <f>13437267/10^5</f>
        <v>134.37267</v>
      </c>
      <c r="D445" s="3">
        <f>4703414/10^5</f>
        <v>47.034140000000001</v>
      </c>
      <c r="E445" s="3"/>
      <c r="F445" s="3"/>
      <c r="G445" s="3">
        <f>8733853/10^5</f>
        <v>87.338530000000006</v>
      </c>
      <c r="H445" s="3">
        <f>3291103987/10^7</f>
        <v>329.11039870000002</v>
      </c>
      <c r="I445" s="3">
        <f>329/10^0</f>
        <v>329</v>
      </c>
      <c r="J445" s="3">
        <f>166/10^0</f>
        <v>166</v>
      </c>
      <c r="K445" s="3">
        <f>827245623/10^8</f>
        <v>8.2724562299999995</v>
      </c>
      <c r="L445" s="3">
        <f>174947515/10^8</f>
        <v>1.7494751500000001</v>
      </c>
      <c r="M445" s="3">
        <f>43002274/10^7</f>
        <v>4.3002273999999998</v>
      </c>
      <c r="N445" s="5"/>
    </row>
    <row r="446" spans="1:14" x14ac:dyDescent="0.3">
      <c r="A446" s="7">
        <v>44631.625</v>
      </c>
      <c r="B446" s="7">
        <v>44631.635416666664</v>
      </c>
      <c r="C446" s="3">
        <f>6780335/10^5</f>
        <v>67.803349999999995</v>
      </c>
      <c r="D446" s="3">
        <f>8754369/10^5</f>
        <v>87.543689999999998</v>
      </c>
      <c r="E446" s="3"/>
      <c r="F446" s="3"/>
      <c r="G446" s="3">
        <f>-1974034/10^5</f>
        <v>-19.74034</v>
      </c>
      <c r="H446" s="3">
        <f>1579644404/10^7</f>
        <v>157.9644404</v>
      </c>
      <c r="I446" s="3">
        <f>29911/10^2</f>
        <v>299.11</v>
      </c>
      <c r="J446" s="3">
        <f>16183/10^2</f>
        <v>161.83000000000001</v>
      </c>
      <c r="K446" s="3">
        <f>804286809/10^8</f>
        <v>8.0428680900000007</v>
      </c>
      <c r="L446" s="3">
        <f>230899645/10^8</f>
        <v>2.30899645</v>
      </c>
      <c r="M446" s="3">
        <f>543952562/10^8</f>
        <v>5.4395256200000004</v>
      </c>
      <c r="N446" s="5"/>
    </row>
    <row r="447" spans="1:14" x14ac:dyDescent="0.3">
      <c r="A447" s="7">
        <v>44631.635416666664</v>
      </c>
      <c r="B447" s="7">
        <v>44631.645833333336</v>
      </c>
      <c r="C447" s="3">
        <f>7127703/10^5</f>
        <v>71.277029999999996</v>
      </c>
      <c r="D447" s="3">
        <f>7603405/10^5</f>
        <v>76.034049999999993</v>
      </c>
      <c r="E447" s="3"/>
      <c r="F447" s="3"/>
      <c r="G447" s="3">
        <f>-475702/10^5</f>
        <v>-4.7570199999999998</v>
      </c>
      <c r="H447" s="3">
        <f>1495367188/10^7</f>
        <v>149.53671879999999</v>
      </c>
      <c r="I447" s="3">
        <f>29911/10^2</f>
        <v>299.11</v>
      </c>
      <c r="J447" s="3">
        <f>16185/10^2</f>
        <v>161.85</v>
      </c>
      <c r="K447" s="3">
        <f>799700541/10^8</f>
        <v>7.9970054099999999</v>
      </c>
      <c r="L447" s="3">
        <f>231453876/10^8</f>
        <v>2.31453876</v>
      </c>
      <c r="M447" s="3">
        <f>611373921/10^8</f>
        <v>6.1137392100000003</v>
      </c>
      <c r="N447" s="5"/>
    </row>
    <row r="448" spans="1:14" x14ac:dyDescent="0.3">
      <c r="A448" s="7">
        <v>44631.645833333336</v>
      </c>
      <c r="B448" s="7">
        <v>44631.65625</v>
      </c>
      <c r="C448" s="3">
        <f>9766284/10^5</f>
        <v>97.662840000000003</v>
      </c>
      <c r="D448" s="3">
        <f>6675212/10^5</f>
        <v>66.752120000000005</v>
      </c>
      <c r="E448" s="3"/>
      <c r="F448" s="3"/>
      <c r="G448" s="3">
        <f>3091072/10^5</f>
        <v>30.910720000000001</v>
      </c>
      <c r="H448" s="3">
        <f>3077015252/10^7</f>
        <v>307.70152519999999</v>
      </c>
      <c r="I448" s="3">
        <f>30376/10^2</f>
        <v>303.76</v>
      </c>
      <c r="J448" s="3">
        <f>16501/10^2</f>
        <v>165.01</v>
      </c>
      <c r="K448" s="3">
        <f>841055029/10^8</f>
        <v>8.4105502899999998</v>
      </c>
      <c r="L448" s="3">
        <f>19932797/10^7</f>
        <v>1.9932797</v>
      </c>
      <c r="M448" s="3">
        <f>554962913/10^8</f>
        <v>5.5496291299999996</v>
      </c>
      <c r="N448" s="5"/>
    </row>
    <row r="449" spans="1:14" x14ac:dyDescent="0.3">
      <c r="A449" s="7">
        <v>44631.65625</v>
      </c>
      <c r="B449" s="7">
        <v>44631.666666666664</v>
      </c>
      <c r="C449" s="3">
        <f>12864718/10^5</f>
        <v>128.64717999999999</v>
      </c>
      <c r="D449" s="3">
        <f>4398978/10^5</f>
        <v>43.989780000000003</v>
      </c>
      <c r="E449" s="3"/>
      <c r="F449" s="3"/>
      <c r="G449" s="3">
        <f>846574/10^4</f>
        <v>84.657399999999996</v>
      </c>
      <c r="H449" s="3">
        <f>339722539/10^6</f>
        <v>339.72253899999998</v>
      </c>
      <c r="I449" s="3">
        <f>33806/10^2</f>
        <v>338.06</v>
      </c>
      <c r="J449" s="3">
        <f>16501/10^2</f>
        <v>165.01</v>
      </c>
      <c r="K449" s="3">
        <f>837632953/10^8</f>
        <v>8.3763295299999996</v>
      </c>
      <c r="L449" s="3">
        <f>200588131/10^8</f>
        <v>2.0058813099999999</v>
      </c>
      <c r="M449" s="3">
        <f>759692005/10^8</f>
        <v>7.5969200499999996</v>
      </c>
      <c r="N449" s="5"/>
    </row>
    <row r="450" spans="1:14" x14ac:dyDescent="0.3">
      <c r="A450" s="7">
        <v>44631.666666666664</v>
      </c>
      <c r="B450" s="7">
        <v>44631.677083333336</v>
      </c>
      <c r="C450" s="3">
        <f>8301981/10^5</f>
        <v>83.019810000000007</v>
      </c>
      <c r="D450" s="3">
        <f>8036471/10^5</f>
        <v>80.364710000000002</v>
      </c>
      <c r="E450" s="3"/>
      <c r="F450" s="3"/>
      <c r="G450" s="3">
        <f>26551/10^4</f>
        <v>2.6551</v>
      </c>
      <c r="H450" s="3">
        <f>4368999998/10^7</f>
        <v>436.89999979999999</v>
      </c>
      <c r="I450" s="3">
        <f>4369/10^1</f>
        <v>436.9</v>
      </c>
      <c r="J450" s="3">
        <f>0/10^0</f>
        <v>0</v>
      </c>
      <c r="K450" s="3">
        <f>869078839/10^8</f>
        <v>8.6907883899999998</v>
      </c>
      <c r="L450" s="3">
        <f>154091161/10^8</f>
        <v>1.54091161</v>
      </c>
      <c r="M450" s="3">
        <f>2505298171/10^8</f>
        <v>25.052981710000001</v>
      </c>
      <c r="N450" s="5"/>
    </row>
    <row r="451" spans="1:14" x14ac:dyDescent="0.3">
      <c r="A451" s="7">
        <v>44631.677083333336</v>
      </c>
      <c r="B451" s="7">
        <v>44631.6875</v>
      </c>
      <c r="C451" s="3">
        <f>5295426/10^5</f>
        <v>52.954259999999998</v>
      </c>
      <c r="D451" s="3">
        <f>7345326/10^5</f>
        <v>73.45326</v>
      </c>
      <c r="E451" s="3"/>
      <c r="F451" s="3"/>
      <c r="G451" s="3">
        <f>-20499/10^3</f>
        <v>-20.498999999999999</v>
      </c>
      <c r="H451" s="3">
        <f>1533911883/10^7</f>
        <v>153.39118830000001</v>
      </c>
      <c r="I451" s="3">
        <f>3412/10^1</f>
        <v>341.2</v>
      </c>
      <c r="J451" s="3">
        <f>16501/10^2</f>
        <v>165.01</v>
      </c>
      <c r="K451" s="3">
        <f>864471497/10^8</f>
        <v>8.6447149700000008</v>
      </c>
      <c r="L451" s="3">
        <f>149039858/10^8</f>
        <v>1.4903985799999999</v>
      </c>
      <c r="M451" s="3">
        <f>457605156/10^8</f>
        <v>4.5760515599999998</v>
      </c>
      <c r="N451" s="5"/>
    </row>
    <row r="452" spans="1:14" x14ac:dyDescent="0.3">
      <c r="A452" s="7">
        <v>44631.6875</v>
      </c>
      <c r="B452" s="7">
        <v>44631.697916666664</v>
      </c>
      <c r="C452" s="3">
        <f>8964973/10^5</f>
        <v>89.649730000000005</v>
      </c>
      <c r="D452" s="3">
        <f>3067932/10^5</f>
        <v>30.679320000000001</v>
      </c>
      <c r="E452" s="3"/>
      <c r="F452" s="3"/>
      <c r="G452" s="3">
        <f>5897041/10^5</f>
        <v>58.970410000000001</v>
      </c>
      <c r="H452" s="3">
        <f>3428309714/10^7</f>
        <v>342.83097140000001</v>
      </c>
      <c r="I452" s="3">
        <f>3412/10^1</f>
        <v>341.2</v>
      </c>
      <c r="J452" s="3">
        <f>17934/10^2</f>
        <v>179.34</v>
      </c>
      <c r="K452" s="3">
        <f>886967335/10^8</f>
        <v>8.8696733499999993</v>
      </c>
      <c r="L452" s="3">
        <f>149959134/10^8</f>
        <v>1.4995913400000001</v>
      </c>
      <c r="M452" s="3">
        <f>40438423/10^7</f>
        <v>4.0438422999999997</v>
      </c>
      <c r="N452" s="5"/>
    </row>
    <row r="453" spans="1:14" x14ac:dyDescent="0.3">
      <c r="A453" s="7">
        <v>44631.697916666664</v>
      </c>
      <c r="B453" s="7">
        <v>44631.708333333336</v>
      </c>
      <c r="C453" s="3">
        <f>12337824/10^5</f>
        <v>123.37824000000001</v>
      </c>
      <c r="D453" s="3">
        <f>2642151/10^5</f>
        <v>26.421510000000001</v>
      </c>
      <c r="E453" s="3"/>
      <c r="F453" s="3"/>
      <c r="G453" s="3">
        <f>9695673/10^5</f>
        <v>96.956729999999993</v>
      </c>
      <c r="H453" s="3">
        <f>3444838733/10^7</f>
        <v>344.48387330000003</v>
      </c>
      <c r="I453" s="3">
        <f>3442/10^1</f>
        <v>344.2</v>
      </c>
      <c r="J453" s="3">
        <f>15109/10^2</f>
        <v>151.09</v>
      </c>
      <c r="K453" s="3">
        <f>913484062/10^8</f>
        <v>9.1348406200000003</v>
      </c>
      <c r="L453" s="3">
        <f>141519878/10^8</f>
        <v>1.4151987800000001</v>
      </c>
      <c r="M453" s="3">
        <f>192453641/10^8</f>
        <v>1.92453641</v>
      </c>
      <c r="N453" s="5"/>
    </row>
    <row r="454" spans="1:14" x14ac:dyDescent="0.3">
      <c r="A454" s="7">
        <v>44631.708333333336</v>
      </c>
      <c r="B454" s="7">
        <v>44631.71875</v>
      </c>
      <c r="C454" s="3">
        <f>8135864/10^5</f>
        <v>81.358639999999994</v>
      </c>
      <c r="D454" s="3">
        <f>10196846/10^5</f>
        <v>101.96845999999999</v>
      </c>
      <c r="E454" s="3"/>
      <c r="F454" s="3"/>
      <c r="G454" s="3">
        <f>-2060982/10^5</f>
        <v>-20.609819999999999</v>
      </c>
      <c r="H454" s="3">
        <f>1642633957/10^7</f>
        <v>164.26339569999999</v>
      </c>
      <c r="I454" s="3">
        <f>38777/10^2</f>
        <v>387.77</v>
      </c>
      <c r="J454" s="3">
        <f>166/10^0</f>
        <v>166</v>
      </c>
      <c r="K454" s="3">
        <f>978277909/10^8</f>
        <v>9.78277909</v>
      </c>
      <c r="L454" s="3">
        <f>219796855/10^8</f>
        <v>2.1979685500000001</v>
      </c>
      <c r="M454" s="3">
        <f>111715748/10^7</f>
        <v>11.1715748</v>
      </c>
      <c r="N454" s="5"/>
    </row>
    <row r="455" spans="1:14" x14ac:dyDescent="0.3">
      <c r="A455" s="7">
        <v>44631.71875</v>
      </c>
      <c r="B455" s="7">
        <v>44631.729166666664</v>
      </c>
      <c r="C455" s="3">
        <f>9104432/10^5</f>
        <v>91.044319999999999</v>
      </c>
      <c r="D455" s="3">
        <f>7053221/10^5</f>
        <v>70.532210000000006</v>
      </c>
      <c r="E455" s="3"/>
      <c r="F455" s="3"/>
      <c r="G455" s="3">
        <f>2051211/10^5</f>
        <v>20.51211</v>
      </c>
      <c r="H455" s="3">
        <f>3516596837/10^7</f>
        <v>351.65968370000002</v>
      </c>
      <c r="I455" s="3">
        <f>0/10^0</f>
        <v>0</v>
      </c>
      <c r="J455" s="3">
        <f>171/10^0</f>
        <v>171</v>
      </c>
      <c r="K455" s="3">
        <f>103884431/10^7</f>
        <v>10.3884431</v>
      </c>
      <c r="L455" s="3">
        <f>200860091/10^8</f>
        <v>2.0086009100000002</v>
      </c>
      <c r="M455" s="3">
        <f>525335469/10^8</f>
        <v>5.2533546900000001</v>
      </c>
      <c r="N455" s="5"/>
    </row>
    <row r="456" spans="1:14" x14ac:dyDescent="0.3">
      <c r="A456" s="7">
        <v>44631.729166666664</v>
      </c>
      <c r="B456" s="7">
        <v>44631.739583333336</v>
      </c>
      <c r="C456" s="3">
        <f>10498668/10^5</f>
        <v>104.98668000000001</v>
      </c>
      <c r="D456" s="3">
        <f>466586/10^4</f>
        <v>46.6586</v>
      </c>
      <c r="E456" s="3"/>
      <c r="F456" s="3"/>
      <c r="G456" s="3">
        <f>5832808/10^5</f>
        <v>58.32808</v>
      </c>
      <c r="H456" s="3">
        <f>3722368912/10^7</f>
        <v>372.2368912</v>
      </c>
      <c r="I456" s="3">
        <f>25561/10^2</f>
        <v>255.61</v>
      </c>
      <c r="J456" s="3">
        <f>14829/10^2</f>
        <v>148.29</v>
      </c>
      <c r="K456" s="3">
        <f>1023538368/10^8</f>
        <v>10.23538368</v>
      </c>
      <c r="L456" s="3">
        <f>143103694/10^8</f>
        <v>1.43103694</v>
      </c>
      <c r="M456" s="3">
        <f>650955486/10^8</f>
        <v>6.5095548599999997</v>
      </c>
      <c r="N456" s="5"/>
    </row>
    <row r="457" spans="1:14" x14ac:dyDescent="0.3">
      <c r="A457" s="7">
        <v>44631.739583333336</v>
      </c>
      <c r="B457" s="7">
        <v>44631.75</v>
      </c>
      <c r="C457" s="3">
        <f>13494287/10^5</f>
        <v>134.94287</v>
      </c>
      <c r="D457" s="3">
        <f>2565902/10^5</f>
        <v>25.659020000000002</v>
      </c>
      <c r="E457" s="3"/>
      <c r="F457" s="3"/>
      <c r="G457" s="3">
        <f>10928385/10^5</f>
        <v>109.28385</v>
      </c>
      <c r="H457" s="3">
        <f>3877718538/10^7</f>
        <v>387.77185379999997</v>
      </c>
      <c r="I457" s="3">
        <f>38777/10^2</f>
        <v>387.77</v>
      </c>
      <c r="J457" s="3">
        <f>19514/10^2</f>
        <v>195.14</v>
      </c>
      <c r="K457" s="3">
        <f>992682528/10^8</f>
        <v>9.9268252799999992</v>
      </c>
      <c r="L457" s="3">
        <f>136796049/10^8</f>
        <v>1.36796049</v>
      </c>
      <c r="M457" s="3">
        <f>6087746/10^8</f>
        <v>6.0877460000000001E-2</v>
      </c>
      <c r="N457" s="5"/>
    </row>
    <row r="458" spans="1:14" x14ac:dyDescent="0.3">
      <c r="A458" s="7">
        <v>44631.75</v>
      </c>
      <c r="B458" s="7">
        <v>44631.760416666664</v>
      </c>
      <c r="C458" s="3">
        <f>16866762/10^5</f>
        <v>168.66762</v>
      </c>
      <c r="D458" s="3">
        <f>6051057/10^5</f>
        <v>60.510570000000001</v>
      </c>
      <c r="E458" s="3"/>
      <c r="F458" s="3"/>
      <c r="G458" s="3">
        <f>10815705/10^5</f>
        <v>108.15705</v>
      </c>
      <c r="H458" s="3">
        <f>4792999998/10^7</f>
        <v>479.29999980000002</v>
      </c>
      <c r="I458" s="3">
        <f>4793/10^1</f>
        <v>479.3</v>
      </c>
      <c r="J458" s="3">
        <f>20511/10^2</f>
        <v>205.11</v>
      </c>
      <c r="K458" s="3">
        <f>1234062096/10^8</f>
        <v>12.340620960000001</v>
      </c>
      <c r="L458" s="3">
        <f>204270482/10^8</f>
        <v>2.04270482</v>
      </c>
      <c r="M458" s="3">
        <f>2862320428/10^8</f>
        <v>28.623204279999999</v>
      </c>
      <c r="N458" s="5"/>
    </row>
    <row r="459" spans="1:14" x14ac:dyDescent="0.3">
      <c r="A459" s="7">
        <v>44631.760416666664</v>
      </c>
      <c r="B459" s="7">
        <v>44631.770833333336</v>
      </c>
      <c r="C459" s="3">
        <f>9816224/10^5</f>
        <v>98.162239999999997</v>
      </c>
      <c r="D459" s="3">
        <f>7139566/10^5</f>
        <v>71.395660000000007</v>
      </c>
      <c r="E459" s="3"/>
      <c r="F459" s="3"/>
      <c r="G459" s="3">
        <f>2676658/10^5</f>
        <v>26.766580000000001</v>
      </c>
      <c r="H459" s="3">
        <f>4792999999/10^7</f>
        <v>479.29999989999999</v>
      </c>
      <c r="I459" s="3">
        <f>4793/10^1</f>
        <v>479.3</v>
      </c>
      <c r="J459" s="3">
        <f>20511/10^2</f>
        <v>205.11</v>
      </c>
      <c r="K459" s="3">
        <f>1282535003/10^8</f>
        <v>12.825350029999999</v>
      </c>
      <c r="L459" s="3">
        <f>202891773/10^8</f>
        <v>2.0289177299999999</v>
      </c>
      <c r="M459" s="3">
        <f>829789269/10^8</f>
        <v>8.2978926899999994</v>
      </c>
      <c r="N459" s="5"/>
    </row>
    <row r="460" spans="1:14" x14ac:dyDescent="0.3">
      <c r="A460" s="7">
        <v>44631.770833333336</v>
      </c>
      <c r="B460" s="7">
        <v>44631.78125</v>
      </c>
      <c r="C460" s="3">
        <f>11667503/10^5</f>
        <v>116.67503000000001</v>
      </c>
      <c r="D460" s="3">
        <f>7205358/10^5</f>
        <v>72.053579999999997</v>
      </c>
      <c r="E460" s="3"/>
      <c r="F460" s="3"/>
      <c r="G460" s="3">
        <f>4462145/10^5</f>
        <v>44.621450000000003</v>
      </c>
      <c r="H460" s="3">
        <f>4792999999/10^7</f>
        <v>479.29999989999999</v>
      </c>
      <c r="I460" s="3">
        <f>4793/10^1</f>
        <v>479.3</v>
      </c>
      <c r="J460" s="3">
        <f>20511/10^2</f>
        <v>205.11</v>
      </c>
      <c r="K460" s="3">
        <f>1320321842/10^8</f>
        <v>13.203218420000001</v>
      </c>
      <c r="L460" s="3">
        <f>171142882/10^8</f>
        <v>1.7114288200000001</v>
      </c>
      <c r="M460" s="3">
        <f>1046935412/10^8</f>
        <v>10.46935412</v>
      </c>
      <c r="N460" s="5"/>
    </row>
    <row r="461" spans="1:14" x14ac:dyDescent="0.3">
      <c r="A461" s="7">
        <v>44631.78125</v>
      </c>
      <c r="B461" s="7">
        <v>44631.791666666664</v>
      </c>
      <c r="C461" s="3">
        <f>11369393/10^5</f>
        <v>113.69392999999999</v>
      </c>
      <c r="D461" s="3">
        <f>6933621/10^5</f>
        <v>69.336209999999994</v>
      </c>
      <c r="E461" s="3"/>
      <c r="F461" s="3"/>
      <c r="G461" s="3">
        <f>4435772/10^5</f>
        <v>44.35772</v>
      </c>
      <c r="H461" s="3">
        <f>4792999999/10^7</f>
        <v>479.29999989999999</v>
      </c>
      <c r="I461" s="3">
        <f>4793/10^1</f>
        <v>479.3</v>
      </c>
      <c r="J461" s="3">
        <f>20511/10^2</f>
        <v>205.11</v>
      </c>
      <c r="K461" s="3">
        <f>1300872991/10^8</f>
        <v>13.00872991</v>
      </c>
      <c r="L461" s="3">
        <f>17075428/10^7</f>
        <v>1.7075427999999999</v>
      </c>
      <c r="M461" s="3">
        <f>909706206/10^8</f>
        <v>9.0970620600000007</v>
      </c>
      <c r="N461" s="5"/>
    </row>
    <row r="462" spans="1:14" x14ac:dyDescent="0.3">
      <c r="A462" s="7">
        <v>44631.791666666664</v>
      </c>
      <c r="B462" s="7">
        <v>44631.802083333336</v>
      </c>
      <c r="C462" s="3">
        <f>10102793/10^5</f>
        <v>101.02793</v>
      </c>
      <c r="D462" s="3">
        <f>5367315/10^5</f>
        <v>53.67315</v>
      </c>
      <c r="E462" s="3"/>
      <c r="F462" s="3"/>
      <c r="G462" s="3">
        <f>4735478/10^5</f>
        <v>47.354779999999998</v>
      </c>
      <c r="H462" s="3">
        <f>4817796591/10^7</f>
        <v>481.7796591</v>
      </c>
      <c r="I462" s="3">
        <f>4813/10^1</f>
        <v>481.3</v>
      </c>
      <c r="J462" s="3">
        <f>14829/10^2</f>
        <v>148.29</v>
      </c>
      <c r="K462" s="3">
        <f>1233310538/10^8</f>
        <v>12.333105379999999</v>
      </c>
      <c r="L462" s="3">
        <f>331162636/10^8</f>
        <v>3.31162636</v>
      </c>
      <c r="M462" s="3">
        <f>892465309/10^8</f>
        <v>8.9246530899999996</v>
      </c>
      <c r="N462" s="5"/>
    </row>
    <row r="463" spans="1:14" x14ac:dyDescent="0.3">
      <c r="A463" s="7">
        <v>44631.802083333336</v>
      </c>
      <c r="B463" s="7">
        <v>44631.8125</v>
      </c>
      <c r="C463" s="3">
        <f>9026047/10^5</f>
        <v>90.260469999999998</v>
      </c>
      <c r="D463" s="3">
        <f>5265675/10^5</f>
        <v>52.656750000000002</v>
      </c>
      <c r="E463" s="3"/>
      <c r="F463" s="3"/>
      <c r="G463" s="3">
        <f>3760372/10^5</f>
        <v>37.603720000000003</v>
      </c>
      <c r="H463" s="3">
        <f>4814776631/10^7</f>
        <v>481.47766309999997</v>
      </c>
      <c r="I463" s="3">
        <f>4813/10^1</f>
        <v>481.3</v>
      </c>
      <c r="J463" s="3">
        <f>149/10^0</f>
        <v>149</v>
      </c>
      <c r="K463" s="3">
        <f>1361573701/10^8</f>
        <v>13.61573701</v>
      </c>
      <c r="L463" s="3">
        <f>335367822/10^8</f>
        <v>3.3536782199999999</v>
      </c>
      <c r="M463" s="3">
        <f>577134949/10^8</f>
        <v>5.7713494900000004</v>
      </c>
      <c r="N463" s="5"/>
    </row>
    <row r="464" spans="1:14" x14ac:dyDescent="0.3">
      <c r="A464" s="7">
        <v>44631.8125</v>
      </c>
      <c r="B464" s="7">
        <v>44631.822916666664</v>
      </c>
      <c r="C464" s="3">
        <f>12976598/10^5</f>
        <v>129.76598000000001</v>
      </c>
      <c r="D464" s="3">
        <f>89032/10^3</f>
        <v>89.031999999999996</v>
      </c>
      <c r="E464" s="3"/>
      <c r="F464" s="3"/>
      <c r="G464" s="3">
        <f>4073398/10^5</f>
        <v>40.733980000000003</v>
      </c>
      <c r="H464" s="3">
        <f>3211507264/10^7</f>
        <v>321.1507264</v>
      </c>
      <c r="I464" s="3">
        <f>30376/10^2</f>
        <v>303.76</v>
      </c>
      <c r="J464" s="3">
        <f>149/10^0</f>
        <v>149</v>
      </c>
      <c r="K464" s="3">
        <f>1306298077/10^8</f>
        <v>13.062980769999999</v>
      </c>
      <c r="L464" s="3">
        <f>279054195/10^8</f>
        <v>2.7905419500000002</v>
      </c>
      <c r="M464" s="3">
        <f>667832898/10^8</f>
        <v>6.6783289799999999</v>
      </c>
      <c r="N464" s="5"/>
    </row>
    <row r="465" spans="1:14" x14ac:dyDescent="0.3">
      <c r="A465" s="7">
        <v>44631.822916666664</v>
      </c>
      <c r="B465" s="7">
        <v>44631.833333333336</v>
      </c>
      <c r="C465" s="3">
        <f>12231169/10^5</f>
        <v>122.31169</v>
      </c>
      <c r="D465" s="3">
        <f>93111/10^3</f>
        <v>93.111000000000004</v>
      </c>
      <c r="E465" s="3"/>
      <c r="F465" s="3"/>
      <c r="G465" s="3">
        <f>2920069/10^5</f>
        <v>29.200690000000002</v>
      </c>
      <c r="H465" s="3">
        <f>317241921/10^6</f>
        <v>317.24192099999999</v>
      </c>
      <c r="I465" s="3">
        <f>30376/10^2</f>
        <v>303.76</v>
      </c>
      <c r="J465" s="3">
        <f>149/10^0</f>
        <v>149</v>
      </c>
      <c r="K465" s="3">
        <f>1332684415/10^8</f>
        <v>13.326844149999999</v>
      </c>
      <c r="L465" s="3">
        <f>278748537/10^8</f>
        <v>2.7874853700000002</v>
      </c>
      <c r="M465" s="3">
        <f>671405817/10^8</f>
        <v>6.7140581700000004</v>
      </c>
      <c r="N465" s="5"/>
    </row>
    <row r="466" spans="1:14" x14ac:dyDescent="0.3">
      <c r="A466" s="7">
        <v>44631.833333333336</v>
      </c>
      <c r="B466" s="7">
        <v>44631.84375</v>
      </c>
      <c r="C466" s="3">
        <f>11985952/10^5</f>
        <v>119.85952</v>
      </c>
      <c r="D466" s="3">
        <f>5881166/10^5</f>
        <v>58.811660000000003</v>
      </c>
      <c r="E466" s="3"/>
      <c r="F466" s="3"/>
      <c r="G466" s="3">
        <f>6104786/10^5</f>
        <v>61.04786</v>
      </c>
      <c r="H466" s="3">
        <f>4318201795/10^7</f>
        <v>431.82017949999999</v>
      </c>
      <c r="I466" s="3">
        <f>4317/10^1</f>
        <v>431.7</v>
      </c>
      <c r="J466" s="3">
        <f>20513/10^2</f>
        <v>205.13</v>
      </c>
      <c r="K466" s="3">
        <f>1176022139/10^8</f>
        <v>11.76022139</v>
      </c>
      <c r="L466" s="3">
        <f>314105365/10^8</f>
        <v>3.1410536499999999</v>
      </c>
      <c r="M466" s="3">
        <f>108219936/10^8</f>
        <v>1.0821993599999999</v>
      </c>
      <c r="N466" s="5"/>
    </row>
    <row r="467" spans="1:14" x14ac:dyDescent="0.3">
      <c r="A467" s="7">
        <v>44631.84375</v>
      </c>
      <c r="B467" s="7">
        <v>44631.854166666664</v>
      </c>
      <c r="C467" s="3">
        <f>7946183/10^5</f>
        <v>79.461830000000006</v>
      </c>
      <c r="D467" s="3">
        <f>4630131/10^5</f>
        <v>46.301310000000001</v>
      </c>
      <c r="E467" s="3"/>
      <c r="F467" s="3"/>
      <c r="G467" s="3">
        <f>3316052/10^5</f>
        <v>33.160519999999998</v>
      </c>
      <c r="H467" s="3">
        <f>4326185462/10^7</f>
        <v>432.61854620000003</v>
      </c>
      <c r="I467" s="3">
        <f>4326/10^1</f>
        <v>432.6</v>
      </c>
      <c r="J467" s="3">
        <f>20513/10^2</f>
        <v>205.13</v>
      </c>
      <c r="K467" s="3">
        <f>1247989698/10^8</f>
        <v>12.479896979999999</v>
      </c>
      <c r="L467" s="3">
        <f>306285782/10^8</f>
        <v>3.0628578200000001</v>
      </c>
      <c r="M467" s="3">
        <f>471708205/10^8</f>
        <v>4.7170820500000001</v>
      </c>
      <c r="N467" s="5"/>
    </row>
    <row r="468" spans="1:14" x14ac:dyDescent="0.3">
      <c r="A468" s="7">
        <v>44631.854166666664</v>
      </c>
      <c r="B468" s="7">
        <v>44631.864583333336</v>
      </c>
      <c r="C468" s="3">
        <f>10884222/10^5</f>
        <v>108.84222</v>
      </c>
      <c r="D468" s="3">
        <f>9088513/10^5</f>
        <v>90.885130000000004</v>
      </c>
      <c r="E468" s="3"/>
      <c r="F468" s="3"/>
      <c r="G468" s="3">
        <f>1795709/10^5</f>
        <v>17.957090000000001</v>
      </c>
      <c r="H468" s="3">
        <f>3078961196/10^7</f>
        <v>307.89611960000002</v>
      </c>
      <c r="I468" s="3">
        <f>30458/10^2</f>
        <v>304.58</v>
      </c>
      <c r="J468" s="3">
        <f>20511/10^2</f>
        <v>205.11</v>
      </c>
      <c r="K468" s="3">
        <f>1185331617/10^8</f>
        <v>11.853316169999999</v>
      </c>
      <c r="L468" s="3">
        <f>292659997/10^8</f>
        <v>2.9265999699999998</v>
      </c>
      <c r="M468" s="3">
        <f>576193092/10^8</f>
        <v>5.7619309200000002</v>
      </c>
      <c r="N468" s="5"/>
    </row>
    <row r="469" spans="1:14" x14ac:dyDescent="0.3">
      <c r="A469" s="7">
        <v>44631.864583333336</v>
      </c>
      <c r="B469" s="7">
        <v>44631.875</v>
      </c>
      <c r="C469" s="3">
        <f>5731784/10^5</f>
        <v>57.317839999999997</v>
      </c>
      <c r="D469" s="3">
        <f>9750008/10^5</f>
        <v>97.500079999999997</v>
      </c>
      <c r="E469" s="3"/>
      <c r="F469" s="3"/>
      <c r="G469" s="3">
        <f>-4018224/10^5</f>
        <v>-40.18224</v>
      </c>
      <c r="H469" s="3">
        <f>1827679658/10^7</f>
        <v>182.76796580000001</v>
      </c>
      <c r="I469" s="3">
        <f>25561/10^2</f>
        <v>255.61</v>
      </c>
      <c r="J469" s="3">
        <f>20511/10^2</f>
        <v>205.11</v>
      </c>
      <c r="K469" s="3">
        <f>1171055294/10^8</f>
        <v>11.710552939999999</v>
      </c>
      <c r="L469" s="3">
        <f>298458708/10^8</f>
        <v>2.9845870799999998</v>
      </c>
      <c r="M469" s="3">
        <f>244163398/10^8</f>
        <v>2.4416339800000002</v>
      </c>
      <c r="N469" s="5"/>
    </row>
    <row r="470" spans="1:14" x14ac:dyDescent="0.3">
      <c r="A470" s="7">
        <v>44631.875</v>
      </c>
      <c r="B470" s="7">
        <v>44631.885416666664</v>
      </c>
      <c r="C470" s="3">
        <f>904515/10^4</f>
        <v>90.451499999999996</v>
      </c>
      <c r="D470" s="3">
        <f>1244341/10^5</f>
        <v>12.44341</v>
      </c>
      <c r="E470" s="3"/>
      <c r="F470" s="3"/>
      <c r="G470" s="3">
        <f>7800809/10^5</f>
        <v>78.008089999999996</v>
      </c>
      <c r="H470" s="3">
        <f>3638644475/10^7</f>
        <v>363.86444749999998</v>
      </c>
      <c r="I470" s="3">
        <f>36131/10^2</f>
        <v>361.31</v>
      </c>
      <c r="J470" s="3">
        <f>19514/10^2</f>
        <v>195.14</v>
      </c>
      <c r="K470" s="3">
        <f>979350034/10^8</f>
        <v>9.7935003399999996</v>
      </c>
      <c r="L470" s="3">
        <f>371605362/10^8</f>
        <v>3.7160536199999998</v>
      </c>
      <c r="M470" s="3">
        <f>385495592/10^8</f>
        <v>3.8549559200000001</v>
      </c>
      <c r="N470" s="5"/>
    </row>
    <row r="471" spans="1:14" x14ac:dyDescent="0.3">
      <c r="A471" s="7">
        <v>44631.885416666664</v>
      </c>
      <c r="B471" s="7">
        <v>44631.895833333336</v>
      </c>
      <c r="C471" s="3">
        <f>9016301/10^5</f>
        <v>90.16301</v>
      </c>
      <c r="D471" s="3">
        <f>3566904/10^5</f>
        <v>35.669040000000003</v>
      </c>
      <c r="E471" s="3"/>
      <c r="F471" s="3"/>
      <c r="G471" s="3">
        <f>5449397/10^5</f>
        <v>54.493969999999997</v>
      </c>
      <c r="H471" s="3">
        <f>3614623391/10^7</f>
        <v>361.46233910000001</v>
      </c>
      <c r="I471" s="3">
        <f>36131/10^2</f>
        <v>361.31</v>
      </c>
      <c r="J471" s="3">
        <f>0/10^0</f>
        <v>0</v>
      </c>
      <c r="K471" s="3">
        <f>1041550074/10^8</f>
        <v>10.415500740000001</v>
      </c>
      <c r="L471" s="3">
        <f>374270855/10^8</f>
        <v>3.7427085500000001</v>
      </c>
      <c r="M471" s="3">
        <f>776181755/10^8</f>
        <v>7.76181755</v>
      </c>
      <c r="N471" s="5"/>
    </row>
    <row r="472" spans="1:14" x14ac:dyDescent="0.3">
      <c r="A472" s="7">
        <v>44631.895833333336</v>
      </c>
      <c r="B472" s="7">
        <v>44631.90625</v>
      </c>
      <c r="C472" s="3">
        <f>5508188/10^5</f>
        <v>55.081879999999998</v>
      </c>
      <c r="D472" s="3">
        <f>3948034/10^5</f>
        <v>39.480339999999998</v>
      </c>
      <c r="E472" s="3"/>
      <c r="F472" s="3"/>
      <c r="G472" s="3">
        <f>1560154/10^5</f>
        <v>15.60154</v>
      </c>
      <c r="H472" s="3">
        <f>3612099999/10^7</f>
        <v>361.20999990000001</v>
      </c>
      <c r="I472" s="3">
        <f>36121/10^2</f>
        <v>361.21</v>
      </c>
      <c r="J472" s="3">
        <f>19513/10^2</f>
        <v>195.13</v>
      </c>
      <c r="K472" s="3">
        <f>1012784745/10^8</f>
        <v>10.127847450000001</v>
      </c>
      <c r="L472" s="3">
        <f>376724704/10^8</f>
        <v>3.76724704</v>
      </c>
      <c r="M472" s="3">
        <f>452864073/10^8</f>
        <v>4.5286407300000002</v>
      </c>
      <c r="N472" s="5"/>
    </row>
    <row r="473" spans="1:14" x14ac:dyDescent="0.3">
      <c r="A473" s="7">
        <v>44631.90625</v>
      </c>
      <c r="B473" s="7">
        <v>44631.916666666664</v>
      </c>
      <c r="C473" s="3">
        <f>2075869/10^5</f>
        <v>20.758690000000001</v>
      </c>
      <c r="D473" s="3">
        <f>5041931/10^5</f>
        <v>50.419310000000003</v>
      </c>
      <c r="E473" s="3"/>
      <c r="F473" s="3"/>
      <c r="G473" s="3">
        <f>-2966062/10^5</f>
        <v>-29.660620000000002</v>
      </c>
      <c r="H473" s="3">
        <f>1572997421/10^7</f>
        <v>157.2997421</v>
      </c>
      <c r="I473" s="3">
        <f>36121/10^2</f>
        <v>361.21</v>
      </c>
      <c r="J473" s="3">
        <f>19512/10^2</f>
        <v>195.12</v>
      </c>
      <c r="K473" s="3">
        <f>1039556999/10^8</f>
        <v>10.39556999</v>
      </c>
      <c r="L473" s="3">
        <f>3767353/10^6</f>
        <v>3.767353</v>
      </c>
      <c r="M473" s="3">
        <f>260323623/10^8</f>
        <v>2.6032362299999998</v>
      </c>
      <c r="N473" s="5"/>
    </row>
    <row r="474" spans="1:14" x14ac:dyDescent="0.3">
      <c r="A474" s="7">
        <v>44631.916666666664</v>
      </c>
      <c r="B474" s="7">
        <v>44631.927083333336</v>
      </c>
      <c r="C474" s="3">
        <f>7755789/10^5</f>
        <v>77.55789</v>
      </c>
      <c r="D474" s="3">
        <f>449919/10^5</f>
        <v>4.4991899999999996</v>
      </c>
      <c r="E474" s="3"/>
      <c r="F474" s="3"/>
      <c r="G474" s="3">
        <f>730587/10^4</f>
        <v>73.058700000000002</v>
      </c>
      <c r="H474" s="3">
        <f>3447438468/10^7</f>
        <v>344.74384679999997</v>
      </c>
      <c r="I474" s="3">
        <f>34325/10^2</f>
        <v>343.25</v>
      </c>
      <c r="J474" s="3">
        <f t="shared" ref="J474:J479" si="28">0/10^0</f>
        <v>0</v>
      </c>
      <c r="K474" s="3">
        <f>960624121/10^8</f>
        <v>9.6062412100000003</v>
      </c>
      <c r="L474" s="3">
        <f>342948892/10^8</f>
        <v>3.4294889199999998</v>
      </c>
      <c r="M474" s="3">
        <f>-237677167/10^8</f>
        <v>-2.3767716700000001</v>
      </c>
      <c r="N474" s="5"/>
    </row>
    <row r="475" spans="1:14" x14ac:dyDescent="0.3">
      <c r="A475" s="7">
        <v>44631.927083333336</v>
      </c>
      <c r="B475" s="7">
        <v>44631.9375</v>
      </c>
      <c r="C475" s="3">
        <f>11204246/10^5</f>
        <v>112.04246000000001</v>
      </c>
      <c r="D475" s="3">
        <f>1116839/10^5</f>
        <v>11.16839</v>
      </c>
      <c r="E475" s="3"/>
      <c r="F475" s="3"/>
      <c r="G475" s="3">
        <f>10087407/10^5</f>
        <v>100.87407</v>
      </c>
      <c r="H475" s="3">
        <f>3990628748/10^7</f>
        <v>399.06287479999997</v>
      </c>
      <c r="I475" s="3">
        <f>399/10^0</f>
        <v>399</v>
      </c>
      <c r="J475" s="3">
        <f t="shared" si="28"/>
        <v>0</v>
      </c>
      <c r="K475" s="3">
        <f>100425585/10^7</f>
        <v>10.0425585</v>
      </c>
      <c r="L475" s="3">
        <f>348428931/10^8</f>
        <v>3.4842893099999999</v>
      </c>
      <c r="M475" s="3">
        <f>154504228/10^8</f>
        <v>1.5450422800000001</v>
      </c>
      <c r="N475" s="5"/>
    </row>
    <row r="476" spans="1:14" x14ac:dyDescent="0.3">
      <c r="A476" s="7">
        <v>44631.9375</v>
      </c>
      <c r="B476" s="7">
        <v>44631.947916666664</v>
      </c>
      <c r="C476" s="3">
        <f>6120908/10^5</f>
        <v>61.20908</v>
      </c>
      <c r="D476" s="3">
        <f>1589835/10^5</f>
        <v>15.898350000000001</v>
      </c>
      <c r="E476" s="3"/>
      <c r="F476" s="3"/>
      <c r="G476" s="3">
        <f>4531073/10^5</f>
        <v>45.31073</v>
      </c>
      <c r="H476" s="3">
        <f>3490099998/10^7</f>
        <v>349.0099998</v>
      </c>
      <c r="I476" s="3">
        <f>34901/10^2</f>
        <v>349.01</v>
      </c>
      <c r="J476" s="3">
        <f t="shared" si="28"/>
        <v>0</v>
      </c>
      <c r="K476" s="3">
        <f>962911122/10^8</f>
        <v>9.6291112200000004</v>
      </c>
      <c r="L476" s="3">
        <f>296573349/10^8</f>
        <v>2.9657334899999999</v>
      </c>
      <c r="M476" s="3">
        <f>309506574/10^8</f>
        <v>3.0950657399999999</v>
      </c>
      <c r="N476" s="5"/>
    </row>
    <row r="477" spans="1:14" x14ac:dyDescent="0.3">
      <c r="A477" s="7">
        <v>44631.947916666664</v>
      </c>
      <c r="B477" s="7">
        <v>44631.958333333336</v>
      </c>
      <c r="C477" s="3">
        <f>5382682/10^5</f>
        <v>53.826819999999998</v>
      </c>
      <c r="D477" s="3">
        <f>3509311/10^5</f>
        <v>35.093110000000003</v>
      </c>
      <c r="E477" s="3"/>
      <c r="F477" s="3"/>
      <c r="G477" s="3">
        <f>1873371/10^5</f>
        <v>18.733709999999999</v>
      </c>
      <c r="H477" s="3">
        <f>3490199998/10^7</f>
        <v>349.01999979999999</v>
      </c>
      <c r="I477" s="3">
        <f>34902/10^2</f>
        <v>349.02</v>
      </c>
      <c r="J477" s="3">
        <f t="shared" si="28"/>
        <v>0</v>
      </c>
      <c r="K477" s="3">
        <f>999859081/10^8</f>
        <v>9.9985908099999996</v>
      </c>
      <c r="L477" s="3">
        <f>304891952/10^8</f>
        <v>3.0489195200000001</v>
      </c>
      <c r="M477" s="3">
        <f>795631196/10^8</f>
        <v>7.9563119599999998</v>
      </c>
      <c r="N477" s="5"/>
    </row>
    <row r="478" spans="1:14" x14ac:dyDescent="0.3">
      <c r="A478" s="7">
        <v>44631.958333333336</v>
      </c>
      <c r="B478" s="7">
        <v>44631.96875</v>
      </c>
      <c r="C478" s="3">
        <f>13955676/10^5</f>
        <v>139.55676</v>
      </c>
      <c r="D478" s="3">
        <f>1499026/10^5</f>
        <v>14.990259999999999</v>
      </c>
      <c r="E478" s="3"/>
      <c r="F478" s="3"/>
      <c r="G478" s="3">
        <f>1245665/10^4</f>
        <v>124.5665</v>
      </c>
      <c r="H478" s="3">
        <f>399/10^0</f>
        <v>399</v>
      </c>
      <c r="I478" s="3">
        <f>399/10^0</f>
        <v>399</v>
      </c>
      <c r="J478" s="3">
        <f t="shared" si="28"/>
        <v>0</v>
      </c>
      <c r="K478" s="3">
        <f>970979946/10^8</f>
        <v>9.7097994599999993</v>
      </c>
      <c r="L478" s="3">
        <f>224204189/10^8</f>
        <v>2.2420418899999999</v>
      </c>
      <c r="M478" s="3">
        <f>463298183/10^8</f>
        <v>4.6329818300000003</v>
      </c>
      <c r="N478" s="5"/>
    </row>
    <row r="479" spans="1:14" x14ac:dyDescent="0.3">
      <c r="A479" s="7">
        <v>44631.96875</v>
      </c>
      <c r="B479" s="7">
        <v>44631.979166666664</v>
      </c>
      <c r="C479" s="3">
        <f>11738863/10^5</f>
        <v>117.38863000000001</v>
      </c>
      <c r="D479" s="3">
        <f>1699823/10^5</f>
        <v>16.99823</v>
      </c>
      <c r="E479" s="3"/>
      <c r="F479" s="3"/>
      <c r="G479" s="3">
        <f>1003904/10^4</f>
        <v>100.3904</v>
      </c>
      <c r="H479" s="3">
        <f>308066552/10^6</f>
        <v>308.066552</v>
      </c>
      <c r="I479" s="3">
        <f>306/10^0</f>
        <v>306</v>
      </c>
      <c r="J479" s="3">
        <f t="shared" si="28"/>
        <v>0</v>
      </c>
      <c r="K479" s="3">
        <f>934468108/10^8</f>
        <v>9.3446810800000009</v>
      </c>
      <c r="L479" s="3">
        <f>257990662/10^8</f>
        <v>2.57990662</v>
      </c>
      <c r="M479" s="3">
        <f>305899658/10^8</f>
        <v>3.0589965800000001</v>
      </c>
      <c r="N479" s="5"/>
    </row>
    <row r="480" spans="1:14" x14ac:dyDescent="0.3">
      <c r="A480" s="7">
        <v>44631.979166666664</v>
      </c>
      <c r="B480" s="7">
        <v>44631.989583333336</v>
      </c>
      <c r="C480" s="3">
        <f>974602/10^4</f>
        <v>97.4602</v>
      </c>
      <c r="D480" s="3">
        <f>561741/10^5</f>
        <v>5.6174099999999996</v>
      </c>
      <c r="E480" s="3"/>
      <c r="F480" s="3"/>
      <c r="G480" s="3">
        <f>9184279/10^5</f>
        <v>91.842789999999994</v>
      </c>
      <c r="H480" s="3">
        <f>3139376035/10^7</f>
        <v>313.93760350000002</v>
      </c>
      <c r="I480" s="3">
        <f>306/10^0</f>
        <v>306</v>
      </c>
      <c r="J480" s="3">
        <f>16501/10^2</f>
        <v>165.01</v>
      </c>
      <c r="K480" s="3">
        <f>901415456/10^8</f>
        <v>9.0141545599999997</v>
      </c>
      <c r="L480" s="3">
        <f>255701625/10^8</f>
        <v>2.5570162500000002</v>
      </c>
      <c r="M480" s="3">
        <f>158853243/10^8</f>
        <v>1.5885324300000001</v>
      </c>
      <c r="N480" s="5"/>
    </row>
    <row r="481" spans="1:14" x14ac:dyDescent="0.3">
      <c r="A481" s="7">
        <v>44631.989583333336</v>
      </c>
      <c r="B481" s="7">
        <v>44632</v>
      </c>
      <c r="C481" s="3">
        <f>10109695/10^5</f>
        <v>101.09695000000001</v>
      </c>
      <c r="D481" s="3">
        <f>3245921/10^5</f>
        <v>32.459209999999999</v>
      </c>
      <c r="E481" s="3"/>
      <c r="F481" s="3"/>
      <c r="G481" s="3">
        <f>6863774/10^5</f>
        <v>68.637739999999994</v>
      </c>
      <c r="H481" s="3">
        <f>307119735/10^6</f>
        <v>307.11973499999999</v>
      </c>
      <c r="I481" s="3">
        <f>306/10^0</f>
        <v>306</v>
      </c>
      <c r="J481" s="3">
        <f>16501/10^2</f>
        <v>165.01</v>
      </c>
      <c r="K481" s="3">
        <f>92555248/10^7</f>
        <v>9.2555247999999999</v>
      </c>
      <c r="L481" s="3">
        <f>245927255/10^8</f>
        <v>2.4592725500000001</v>
      </c>
      <c r="M481" s="3">
        <f>165580364/10^8</f>
        <v>1.65580364</v>
      </c>
      <c r="N481" s="5"/>
    </row>
    <row r="482" spans="1:14" x14ac:dyDescent="0.3">
      <c r="A482" s="7">
        <v>44632</v>
      </c>
      <c r="B482" s="7">
        <v>44632.010416666664</v>
      </c>
      <c r="C482" s="3">
        <f>4100639/10^5</f>
        <v>41.006390000000003</v>
      </c>
      <c r="D482" s="3">
        <f>3465515/10^5</f>
        <v>34.655149999999999</v>
      </c>
      <c r="E482" s="3"/>
      <c r="F482" s="3"/>
      <c r="G482" s="3">
        <f>635124/10^5</f>
        <v>6.3512399999999998</v>
      </c>
      <c r="H482" s="3">
        <f>2549011341/10^7</f>
        <v>254.90113410000001</v>
      </c>
      <c r="I482" s="3">
        <f>24789/10^2</f>
        <v>247.89</v>
      </c>
      <c r="J482" s="3">
        <f>167/10^0</f>
        <v>167</v>
      </c>
      <c r="K482" s="3">
        <f>1014731601/10^8</f>
        <v>10.147316010000001</v>
      </c>
      <c r="L482" s="3">
        <f>74061549/10^8</f>
        <v>0.74061549000000004</v>
      </c>
      <c r="M482" s="3">
        <f>491267125/10^8</f>
        <v>4.9126712499999998</v>
      </c>
      <c r="N482" s="5"/>
    </row>
    <row r="483" spans="1:14" x14ac:dyDescent="0.3">
      <c r="A483" s="7">
        <v>44632.010416666664</v>
      </c>
      <c r="B483" s="7">
        <v>44632.020833333336</v>
      </c>
      <c r="C483" s="3">
        <f>3840303/10^5</f>
        <v>38.403030000000001</v>
      </c>
      <c r="D483" s="3">
        <f>3791254/10^5</f>
        <v>37.91254</v>
      </c>
      <c r="E483" s="3"/>
      <c r="F483" s="3"/>
      <c r="G483" s="3">
        <f>49049/10^5</f>
        <v>0.49048999999999998</v>
      </c>
      <c r="H483" s="3">
        <f>2798385747/10^7</f>
        <v>279.83857469999998</v>
      </c>
      <c r="I483" s="3">
        <f>27983/10^2</f>
        <v>279.83</v>
      </c>
      <c r="J483" s="3">
        <f>17923/10^2</f>
        <v>179.23</v>
      </c>
      <c r="K483" s="3">
        <f>1023225642/10^8</f>
        <v>10.232256420000001</v>
      </c>
      <c r="L483" s="3">
        <f>7527388/10^7</f>
        <v>0.75273880000000004</v>
      </c>
      <c r="M483" s="3">
        <f>507807325/10^8</f>
        <v>5.0780732500000001</v>
      </c>
      <c r="N483" s="5"/>
    </row>
    <row r="484" spans="1:14" x14ac:dyDescent="0.3">
      <c r="A484" s="7">
        <v>44632.020833333336</v>
      </c>
      <c r="B484" s="7">
        <v>44632.03125</v>
      </c>
      <c r="C484" s="3">
        <f>167563/10^4</f>
        <v>16.7563</v>
      </c>
      <c r="D484" s="3">
        <f>4046033/10^5</f>
        <v>40.460329999999999</v>
      </c>
      <c r="E484" s="3"/>
      <c r="F484" s="3"/>
      <c r="G484" s="3">
        <f>-2370403/10^5</f>
        <v>-23.704029999999999</v>
      </c>
      <c r="H484" s="3">
        <f>1577109463/10^7</f>
        <v>157.71094629999999</v>
      </c>
      <c r="I484" s="3">
        <f>24789/10^2</f>
        <v>247.89</v>
      </c>
      <c r="J484" s="3">
        <f>17923/10^2</f>
        <v>179.23</v>
      </c>
      <c r="K484" s="3">
        <f>937223991/10^8</f>
        <v>9.3722399099999993</v>
      </c>
      <c r="L484" s="3">
        <f>76102389/10^8</f>
        <v>0.76102389000000004</v>
      </c>
      <c r="M484" s="3">
        <f>291605224/10^8</f>
        <v>2.91605224</v>
      </c>
      <c r="N484" s="5"/>
    </row>
    <row r="485" spans="1:14" x14ac:dyDescent="0.3">
      <c r="A485" s="7">
        <v>44632.03125</v>
      </c>
      <c r="B485" s="7">
        <v>44632.041666666664</v>
      </c>
      <c r="C485" s="3">
        <f>1190672/10^5</f>
        <v>11.90672</v>
      </c>
      <c r="D485" s="3">
        <f>4195585/10^5</f>
        <v>41.955849999999998</v>
      </c>
      <c r="E485" s="3"/>
      <c r="F485" s="3"/>
      <c r="G485" s="3">
        <f>-3004913/10^5</f>
        <v>-30.049130000000002</v>
      </c>
      <c r="H485" s="3">
        <f>178286184/10^6</f>
        <v>178.28618399999999</v>
      </c>
      <c r="I485" s="3">
        <f>0/10^0</f>
        <v>0</v>
      </c>
      <c r="J485" s="3">
        <f>17923/10^2</f>
        <v>179.23</v>
      </c>
      <c r="K485" s="3">
        <f>99074281/10^7</f>
        <v>9.9074281000000006</v>
      </c>
      <c r="L485" s="3">
        <f>75819059/10^8</f>
        <v>0.75819059</v>
      </c>
      <c r="M485" s="3">
        <f>-15386833/10^8</f>
        <v>-0.15386833</v>
      </c>
      <c r="N485" s="5"/>
    </row>
    <row r="486" spans="1:14" x14ac:dyDescent="0.3">
      <c r="A486" s="7">
        <v>44632.041666666664</v>
      </c>
      <c r="B486" s="7">
        <v>44632.052083333336</v>
      </c>
      <c r="C486" s="3">
        <f>6101511/10^5</f>
        <v>61.01511</v>
      </c>
      <c r="D486" s="3">
        <f>653132/10^4</f>
        <v>65.313199999999995</v>
      </c>
      <c r="E486" s="3"/>
      <c r="F486" s="3"/>
      <c r="G486" s="3">
        <f>-429809/10^5</f>
        <v>-4.2980900000000002</v>
      </c>
      <c r="H486" s="3">
        <f>1547846886/10^7</f>
        <v>154.78468860000001</v>
      </c>
      <c r="I486" s="3">
        <f>26782/10^2</f>
        <v>267.82</v>
      </c>
      <c r="J486" s="3">
        <f>157/10^0</f>
        <v>157</v>
      </c>
      <c r="K486" s="3">
        <f>962759322/10^8</f>
        <v>9.6275932199999996</v>
      </c>
      <c r="L486" s="3">
        <f>39705362/10^8</f>
        <v>0.39705362</v>
      </c>
      <c r="M486" s="3">
        <f>753878936/10^8</f>
        <v>7.53878936</v>
      </c>
      <c r="N486" s="5"/>
    </row>
    <row r="487" spans="1:14" x14ac:dyDescent="0.3">
      <c r="A487" s="7">
        <v>44632.052083333336</v>
      </c>
      <c r="B487" s="7">
        <v>44632.0625</v>
      </c>
      <c r="C487" s="3">
        <f>2954367/10^5</f>
        <v>29.543669999999999</v>
      </c>
      <c r="D487" s="3">
        <f>3355209/10^5</f>
        <v>33.55209</v>
      </c>
      <c r="E487" s="3"/>
      <c r="F487" s="3"/>
      <c r="G487" s="3">
        <f>-400842/10^5</f>
        <v>-4.0084200000000001</v>
      </c>
      <c r="H487" s="3">
        <f>1591193977/10^7</f>
        <v>159.11939770000001</v>
      </c>
      <c r="I487" s="3">
        <f>28425/10^2</f>
        <v>284.25</v>
      </c>
      <c r="J487" s="3">
        <f>15917/10^2</f>
        <v>159.16999999999999</v>
      </c>
      <c r="K487" s="3">
        <f>955404933/10^8</f>
        <v>9.5540493299999998</v>
      </c>
      <c r="L487" s="3">
        <f>50949713/10^8</f>
        <v>0.50949712999999996</v>
      </c>
      <c r="M487" s="3">
        <f>32363365/10^7</f>
        <v>3.2363365000000002</v>
      </c>
      <c r="N487" s="5"/>
    </row>
    <row r="488" spans="1:14" x14ac:dyDescent="0.3">
      <c r="A488" s="7">
        <v>44632.0625</v>
      </c>
      <c r="B488" s="7">
        <v>44632.072916666664</v>
      </c>
      <c r="C488" s="3">
        <f>1997821/10^5</f>
        <v>19.978210000000001</v>
      </c>
      <c r="D488" s="3">
        <f>3310944/10^5</f>
        <v>33.109439999999999</v>
      </c>
      <c r="E488" s="3"/>
      <c r="F488" s="3"/>
      <c r="G488" s="3">
        <f>-1313123/10^5</f>
        <v>-13.13123</v>
      </c>
      <c r="H488" s="3">
        <f>1664220228/10^7</f>
        <v>166.42202280000001</v>
      </c>
      <c r="I488" s="3">
        <f>0/10^0</f>
        <v>0</v>
      </c>
      <c r="J488" s="3">
        <f>167/10^0</f>
        <v>167</v>
      </c>
      <c r="K488" s="3">
        <f>977663176/10^8</f>
        <v>9.7766317600000008</v>
      </c>
      <c r="L488" s="3">
        <f>38490137/10^8</f>
        <v>0.38490137000000002</v>
      </c>
      <c r="M488" s="3">
        <f>162908121/10^8</f>
        <v>1.6290812100000001</v>
      </c>
      <c r="N488" s="5"/>
    </row>
    <row r="489" spans="1:14" x14ac:dyDescent="0.3">
      <c r="A489" s="7">
        <v>44632.072916666664</v>
      </c>
      <c r="B489" s="7">
        <v>44632.083333333336</v>
      </c>
      <c r="C489" s="3">
        <f>1146739/10^5</f>
        <v>11.46739</v>
      </c>
      <c r="D489" s="3">
        <f>3962485/10^5</f>
        <v>39.624850000000002</v>
      </c>
      <c r="E489" s="3"/>
      <c r="F489" s="3"/>
      <c r="G489" s="3">
        <f>-2815746/10^5</f>
        <v>-28.15746</v>
      </c>
      <c r="H489" s="3">
        <f>1722415265/10^7</f>
        <v>172.24152649999999</v>
      </c>
      <c r="I489" s="3">
        <f>0/10^0</f>
        <v>0</v>
      </c>
      <c r="J489" s="3">
        <f>17946/10^2</f>
        <v>179.46</v>
      </c>
      <c r="K489" s="3">
        <f>981614957/10^8</f>
        <v>9.8161495700000003</v>
      </c>
      <c r="L489" s="3">
        <f>38336661/10^8</f>
        <v>0.38336661</v>
      </c>
      <c r="M489" s="3">
        <f>2562481/10^7</f>
        <v>0.25624809999999998</v>
      </c>
      <c r="N489" s="5"/>
    </row>
    <row r="490" spans="1:14" x14ac:dyDescent="0.3">
      <c r="A490" s="7">
        <v>44632.083333333336</v>
      </c>
      <c r="B490" s="7">
        <v>44632.09375</v>
      </c>
      <c r="C490" s="3">
        <f>4649102/10^5</f>
        <v>46.491019999999999</v>
      </c>
      <c r="D490" s="3">
        <f>6742042/10^5</f>
        <v>67.420419999999993</v>
      </c>
      <c r="E490" s="3"/>
      <c r="F490" s="3"/>
      <c r="G490" s="3">
        <f>-209294/10^4</f>
        <v>-20.929400000000001</v>
      </c>
      <c r="H490" s="3">
        <f>1561775129/10^7</f>
        <v>156.17751290000001</v>
      </c>
      <c r="I490" s="3">
        <f>26782/10^2</f>
        <v>267.82</v>
      </c>
      <c r="J490" s="3">
        <f>157/10^0</f>
        <v>157</v>
      </c>
      <c r="K490" s="3">
        <f>740404079/10^8</f>
        <v>7.4040407899999998</v>
      </c>
      <c r="L490" s="3">
        <f>47316155/10^8</f>
        <v>0.47316154999999999</v>
      </c>
      <c r="M490" s="3">
        <f>460929606/10^8</f>
        <v>4.6092960600000001</v>
      </c>
      <c r="N490" s="5"/>
    </row>
    <row r="491" spans="1:14" x14ac:dyDescent="0.3">
      <c r="A491" s="7">
        <v>44632.09375</v>
      </c>
      <c r="B491" s="7">
        <v>44632.104166666664</v>
      </c>
      <c r="C491" s="3">
        <f>328088/10^4</f>
        <v>32.808799999999998</v>
      </c>
      <c r="D491" s="3">
        <f>5795655/10^5</f>
        <v>57.95655</v>
      </c>
      <c r="E491" s="3"/>
      <c r="F491" s="3"/>
      <c r="G491" s="3">
        <f>-2514775/10^5</f>
        <v>-25.147749999999998</v>
      </c>
      <c r="H491" s="3">
        <f>1590681069/10^7</f>
        <v>159.0681069</v>
      </c>
      <c r="I491" s="3">
        <f>26089/10^2</f>
        <v>260.89</v>
      </c>
      <c r="J491" s="3">
        <f>15917/10^2</f>
        <v>159.16999999999999</v>
      </c>
      <c r="K491" s="3">
        <f>729958077/10^8</f>
        <v>7.2995807700000004</v>
      </c>
      <c r="L491" s="3">
        <f>43378831/10^8</f>
        <v>0.43378831000000001</v>
      </c>
      <c r="M491" s="3">
        <f>312059772/10^8</f>
        <v>3.1205977200000001</v>
      </c>
      <c r="N491" s="5"/>
    </row>
    <row r="492" spans="1:14" x14ac:dyDescent="0.3">
      <c r="A492" s="7">
        <v>44632.104166666664</v>
      </c>
      <c r="B492" s="7">
        <v>44632.114583333336</v>
      </c>
      <c r="C492" s="3">
        <f>930869/10^5</f>
        <v>9.3086900000000004</v>
      </c>
      <c r="D492" s="3">
        <f>53526/10^3</f>
        <v>53.526000000000003</v>
      </c>
      <c r="E492" s="3"/>
      <c r="F492" s="3"/>
      <c r="G492" s="3">
        <f>-4421731/10^5</f>
        <v>-44.217309999999998</v>
      </c>
      <c r="H492" s="3">
        <f>158709405/10^6</f>
        <v>158.709405</v>
      </c>
      <c r="I492" s="3">
        <f>0/10^0</f>
        <v>0</v>
      </c>
      <c r="J492" s="3">
        <f>15917/10^2</f>
        <v>159.16999999999999</v>
      </c>
      <c r="K492" s="3">
        <f>735973722/10^8</f>
        <v>7.3597372200000004</v>
      </c>
      <c r="L492" s="3">
        <f>4235897/10^7</f>
        <v>0.42358970000000001</v>
      </c>
      <c r="M492" s="3">
        <f>88687451/10^8</f>
        <v>0.88687450999999995</v>
      </c>
      <c r="N492" s="5"/>
    </row>
    <row r="493" spans="1:14" x14ac:dyDescent="0.3">
      <c r="A493" s="7">
        <v>44632.114583333336</v>
      </c>
      <c r="B493" s="7">
        <v>44632.125</v>
      </c>
      <c r="C493" s="3">
        <f>384284/10^5</f>
        <v>3.8428399999999998</v>
      </c>
      <c r="D493" s="3">
        <f>7241786/10^5</f>
        <v>72.417860000000005</v>
      </c>
      <c r="E493" s="3"/>
      <c r="F493" s="3"/>
      <c r="G493" s="3">
        <f>-6857502/10^5</f>
        <v>-68.575019999999995</v>
      </c>
      <c r="H493" s="3">
        <f>1585249789/10^7</f>
        <v>158.52497890000001</v>
      </c>
      <c r="I493" s="3">
        <f>0/10^0</f>
        <v>0</v>
      </c>
      <c r="J493" s="3">
        <f>15917/10^2</f>
        <v>159.16999999999999</v>
      </c>
      <c r="K493" s="3">
        <f>736635243/10^8</f>
        <v>7.3663524300000001</v>
      </c>
      <c r="L493" s="3">
        <f>44814714/10^8</f>
        <v>0.44814714</v>
      </c>
      <c r="M493" s="3">
        <f>-2304425/10^8</f>
        <v>-2.3044249999999999E-2</v>
      </c>
      <c r="N493" s="5"/>
    </row>
    <row r="494" spans="1:14" x14ac:dyDescent="0.3">
      <c r="A494" s="7">
        <v>44632.125</v>
      </c>
      <c r="B494" s="7">
        <v>44632.135416666664</v>
      </c>
      <c r="C494" s="3">
        <f>1523673/10^5</f>
        <v>15.23673</v>
      </c>
      <c r="D494" s="3">
        <f>7649973/10^5</f>
        <v>76.49973</v>
      </c>
      <c r="E494" s="3"/>
      <c r="F494" s="3"/>
      <c r="G494" s="3">
        <f>-61263/10^3</f>
        <v>-61.262999999999998</v>
      </c>
      <c r="H494" s="3">
        <f>1507385296/10^7</f>
        <v>150.73852959999999</v>
      </c>
      <c r="I494" s="3">
        <f>24789/10^2</f>
        <v>247.89</v>
      </c>
      <c r="J494" s="3">
        <f>15131/10^2</f>
        <v>151.31</v>
      </c>
      <c r="K494" s="3">
        <f>670062237/10^8</f>
        <v>6.7006223699999996</v>
      </c>
      <c r="L494" s="3">
        <f>78112406/10^8</f>
        <v>0.78112406000000001</v>
      </c>
      <c r="M494" s="3">
        <f>271358068/10^8</f>
        <v>2.7135806800000002</v>
      </c>
      <c r="N494" s="5"/>
    </row>
    <row r="495" spans="1:14" x14ac:dyDescent="0.3">
      <c r="A495" s="7">
        <v>44632.135416666664</v>
      </c>
      <c r="B495" s="7">
        <v>44632.145833333336</v>
      </c>
      <c r="C495" s="3">
        <f>2898711/10^5</f>
        <v>28.987110000000001</v>
      </c>
      <c r="D495" s="3">
        <f>10467627/10^5</f>
        <v>104.67627</v>
      </c>
      <c r="E495" s="3"/>
      <c r="F495" s="3"/>
      <c r="G495" s="3">
        <f>-7568916/10^5</f>
        <v>-75.689160000000001</v>
      </c>
      <c r="H495" s="3">
        <f>1508961602/10^7</f>
        <v>150.8961602</v>
      </c>
      <c r="I495" s="3">
        <f>24789/10^2</f>
        <v>247.89</v>
      </c>
      <c r="J495" s="3">
        <f>15095/10^2</f>
        <v>150.94999999999999</v>
      </c>
      <c r="K495" s="3">
        <f>658715469/10^8</f>
        <v>6.5871546900000002</v>
      </c>
      <c r="L495" s="3">
        <f>77756276/10^8</f>
        <v>0.77756276000000002</v>
      </c>
      <c r="M495" s="3">
        <f>193137853/10^8</f>
        <v>1.9313785299999999</v>
      </c>
      <c r="N495" s="5"/>
    </row>
    <row r="496" spans="1:14" x14ac:dyDescent="0.3">
      <c r="A496" s="7">
        <v>44632.145833333336</v>
      </c>
      <c r="B496" s="7">
        <v>44632.15625</v>
      </c>
      <c r="C496" s="3">
        <f>2375786/10^5</f>
        <v>23.757860000000001</v>
      </c>
      <c r="D496" s="3">
        <f>9282113/10^5</f>
        <v>92.821129999999997</v>
      </c>
      <c r="E496" s="3"/>
      <c r="F496" s="3"/>
      <c r="G496" s="3">
        <f>-6906327/10^5</f>
        <v>-69.063270000000003</v>
      </c>
      <c r="H496" s="3">
        <f>1507696295/10^7</f>
        <v>150.76962950000001</v>
      </c>
      <c r="I496" s="3">
        <f>24789/10^2</f>
        <v>247.89</v>
      </c>
      <c r="J496" s="3">
        <f>15102/10^2</f>
        <v>151.02000000000001</v>
      </c>
      <c r="K496" s="3">
        <f>645145168/10^8</f>
        <v>6.4514516799999999</v>
      </c>
      <c r="L496" s="3">
        <f>82590618/10^8</f>
        <v>0.82590618000000005</v>
      </c>
      <c r="M496" s="3">
        <f>190029382/10^8</f>
        <v>1.9002938199999999</v>
      </c>
      <c r="N496" s="5"/>
    </row>
    <row r="497" spans="1:14" x14ac:dyDescent="0.3">
      <c r="A497" s="7">
        <v>44632.15625</v>
      </c>
      <c r="B497" s="7">
        <v>44632.166666666664</v>
      </c>
      <c r="C497" s="3">
        <f>1843309/10^5</f>
        <v>18.43309</v>
      </c>
      <c r="D497" s="3">
        <f>9801887/10^5</f>
        <v>98.018870000000007</v>
      </c>
      <c r="E497" s="3"/>
      <c r="F497" s="3"/>
      <c r="G497" s="3">
        <f>-7958578/10^5</f>
        <v>-79.58578</v>
      </c>
      <c r="H497" s="3">
        <f>1507393073/10^7</f>
        <v>150.73930730000001</v>
      </c>
      <c r="I497" s="3">
        <f>24789/10^2</f>
        <v>247.89</v>
      </c>
      <c r="J497" s="3">
        <f>15102/10^2</f>
        <v>151.02000000000001</v>
      </c>
      <c r="K497" s="3">
        <f>642513765/10^8</f>
        <v>6.4251376499999999</v>
      </c>
      <c r="L497" s="3">
        <f>83002783/10^8</f>
        <v>0.83002783000000002</v>
      </c>
      <c r="M497" s="3">
        <f>121544377/10^8</f>
        <v>1.21544377</v>
      </c>
      <c r="N497" s="5"/>
    </row>
    <row r="498" spans="1:14" x14ac:dyDescent="0.3">
      <c r="A498" s="7">
        <v>44632.166666666664</v>
      </c>
      <c r="B498" s="7">
        <v>44632.177083333336</v>
      </c>
      <c r="C498" s="3">
        <f>2080734/10^5</f>
        <v>20.80734</v>
      </c>
      <c r="D498" s="3">
        <f>13438127/10^5</f>
        <v>134.38127</v>
      </c>
      <c r="E498" s="3"/>
      <c r="F498" s="3"/>
      <c r="G498" s="3">
        <f>-11357393/10^5</f>
        <v>-113.57393</v>
      </c>
      <c r="H498" s="3">
        <f>1482109977/10^7</f>
        <v>148.21099770000001</v>
      </c>
      <c r="I498" s="3">
        <f>24787/10^2</f>
        <v>247.87</v>
      </c>
      <c r="J498" s="3">
        <f>14826/10^2</f>
        <v>148.26</v>
      </c>
      <c r="K498" s="3">
        <f>645947328/10^8</f>
        <v>6.4594732800000001</v>
      </c>
      <c r="L498" s="3">
        <f>77609796/10^8</f>
        <v>0.77609795999999998</v>
      </c>
      <c r="M498" s="3">
        <f>181445858/10^8</f>
        <v>1.8144585799999999</v>
      </c>
      <c r="N498" s="5"/>
    </row>
    <row r="499" spans="1:14" x14ac:dyDescent="0.3">
      <c r="A499" s="7">
        <v>44632.177083333336</v>
      </c>
      <c r="B499" s="7">
        <v>44632.1875</v>
      </c>
      <c r="C499" s="3">
        <f>305916/10^4</f>
        <v>30.5916</v>
      </c>
      <c r="D499" s="3">
        <f>11098417/10^5</f>
        <v>110.98417000000001</v>
      </c>
      <c r="E499" s="3"/>
      <c r="F499" s="3"/>
      <c r="G499" s="3">
        <f>-8039257/10^5</f>
        <v>-80.392570000000006</v>
      </c>
      <c r="H499" s="3">
        <f>1506844832/10^7</f>
        <v>150.68448319999999</v>
      </c>
      <c r="I499" s="3">
        <f>24787/10^2</f>
        <v>247.87</v>
      </c>
      <c r="J499" s="3">
        <f>15086/10^2</f>
        <v>150.86000000000001</v>
      </c>
      <c r="K499" s="3">
        <f>644196453/10^8</f>
        <v>6.4419645299999999</v>
      </c>
      <c r="L499" s="3">
        <f>81517674/10^8</f>
        <v>0.81517673999999996</v>
      </c>
      <c r="M499" s="3">
        <f>254542351/10^8</f>
        <v>2.54542351</v>
      </c>
      <c r="N499" s="5"/>
    </row>
    <row r="500" spans="1:14" x14ac:dyDescent="0.3">
      <c r="A500" s="7">
        <v>44632.1875</v>
      </c>
      <c r="B500" s="7">
        <v>44632.197916666664</v>
      </c>
      <c r="C500" s="3">
        <f>503604/10^4</f>
        <v>50.360399999999998</v>
      </c>
      <c r="D500" s="3">
        <f>9538258/10^5</f>
        <v>95.382580000000004</v>
      </c>
      <c r="E500" s="3"/>
      <c r="F500" s="3"/>
      <c r="G500" s="3">
        <f>-4502218/10^5</f>
        <v>-45.022179999999999</v>
      </c>
      <c r="H500" s="3">
        <f>1506550128/10^7</f>
        <v>150.65501280000001</v>
      </c>
      <c r="I500" s="3">
        <f>24789/10^2</f>
        <v>247.89</v>
      </c>
      <c r="J500" s="3">
        <f>15087/10^2</f>
        <v>150.87</v>
      </c>
      <c r="K500" s="3">
        <f>659052943/10^8</f>
        <v>6.5905294300000001</v>
      </c>
      <c r="L500" s="3">
        <f>77110491/10^8</f>
        <v>0.77110491000000003</v>
      </c>
      <c r="M500" s="3">
        <f>443879651/10^8</f>
        <v>4.4387965100000004</v>
      </c>
      <c r="N500" s="5"/>
    </row>
    <row r="501" spans="1:14" x14ac:dyDescent="0.3">
      <c r="A501" s="7">
        <v>44632.197916666664</v>
      </c>
      <c r="B501" s="7">
        <v>44632.208333333336</v>
      </c>
      <c r="C501" s="3">
        <f>4181352/10^5</f>
        <v>41.813519999999997</v>
      </c>
      <c r="D501" s="3">
        <f>9395123/10^5</f>
        <v>93.951229999999995</v>
      </c>
      <c r="E501" s="3"/>
      <c r="F501" s="3"/>
      <c r="G501" s="3">
        <f>-5213771/10^5</f>
        <v>-52.137709999999998</v>
      </c>
      <c r="H501" s="3">
        <f>1507904574/10^7</f>
        <v>150.79045740000001</v>
      </c>
      <c r="I501" s="3">
        <f>24789/10^2</f>
        <v>247.89</v>
      </c>
      <c r="J501" s="3">
        <f>15102/10^2</f>
        <v>151.02000000000001</v>
      </c>
      <c r="K501" s="3">
        <f>648052574/10^8</f>
        <v>6.48052574</v>
      </c>
      <c r="L501" s="3">
        <f>77327589/10^8</f>
        <v>0.77327588999999997</v>
      </c>
      <c r="M501" s="3">
        <f>483762369/10^8</f>
        <v>4.83762369</v>
      </c>
      <c r="N501" s="5"/>
    </row>
    <row r="502" spans="1:14" x14ac:dyDescent="0.3">
      <c r="A502" s="7">
        <v>44632.208333333336</v>
      </c>
      <c r="B502" s="7">
        <v>44632.21875</v>
      </c>
      <c r="C502" s="3">
        <f>5233522/10^5</f>
        <v>52.33522</v>
      </c>
      <c r="D502" s="3">
        <f>7494285/10^5</f>
        <v>74.942850000000007</v>
      </c>
      <c r="E502" s="3"/>
      <c r="F502" s="3"/>
      <c r="G502" s="3">
        <f>-2260763/10^5</f>
        <v>-22.60763</v>
      </c>
      <c r="H502" s="3">
        <f>1500615371/10^7</f>
        <v>150.06153710000001</v>
      </c>
      <c r="I502" s="3">
        <f>262/10^0</f>
        <v>262</v>
      </c>
      <c r="J502" s="3">
        <f>15102/10^2</f>
        <v>151.02000000000001</v>
      </c>
      <c r="K502" s="3">
        <f>664989836/10^8</f>
        <v>6.6498983599999999</v>
      </c>
      <c r="L502" s="3">
        <f>67336683/10^8</f>
        <v>0.67336682999999997</v>
      </c>
      <c r="M502" s="3">
        <f>387510965/10^8</f>
        <v>3.8751096500000002</v>
      </c>
      <c r="N502" s="5"/>
    </row>
    <row r="503" spans="1:14" x14ac:dyDescent="0.3">
      <c r="A503" s="7">
        <v>44632.21875</v>
      </c>
      <c r="B503" s="7">
        <v>44632.229166666664</v>
      </c>
      <c r="C503" s="3">
        <f>4695047/10^5</f>
        <v>46.950470000000003</v>
      </c>
      <c r="D503" s="3">
        <f>5670555/10^5</f>
        <v>56.705550000000002</v>
      </c>
      <c r="E503" s="3"/>
      <c r="F503" s="3"/>
      <c r="G503" s="3">
        <f>-975508/10^5</f>
        <v>-9.7550799999999995</v>
      </c>
      <c r="H503" s="3">
        <f>1510072906/10^7</f>
        <v>151.0072906</v>
      </c>
      <c r="I503" s="3">
        <f>20136/10^2</f>
        <v>201.36</v>
      </c>
      <c r="J503" s="3">
        <f>15102/10^2</f>
        <v>151.02000000000001</v>
      </c>
      <c r="K503" s="3">
        <f>674184662/10^8</f>
        <v>6.7418466199999996</v>
      </c>
      <c r="L503" s="3">
        <f>70532838/10^8</f>
        <v>0.70532837999999998</v>
      </c>
      <c r="M503" s="3">
        <f>382138831/10^8</f>
        <v>3.8213883100000001</v>
      </c>
      <c r="N503" s="5"/>
    </row>
    <row r="504" spans="1:14" x14ac:dyDescent="0.3">
      <c r="A504" s="7">
        <v>44632.229166666664</v>
      </c>
      <c r="B504" s="7">
        <v>44632.239583333336</v>
      </c>
      <c r="C504" s="3">
        <f>5069865/10^5</f>
        <v>50.698650000000001</v>
      </c>
      <c r="D504" s="3">
        <f>8614346/10^5</f>
        <v>86.143460000000005</v>
      </c>
      <c r="E504" s="3"/>
      <c r="F504" s="3"/>
      <c r="G504" s="3">
        <f>-3544481/10^5</f>
        <v>-35.444809999999997</v>
      </c>
      <c r="H504" s="3">
        <f>1508972034/10^7</f>
        <v>150.8972034</v>
      </c>
      <c r="I504" s="3">
        <f t="shared" ref="I504:I513" si="29">26782/10^2</f>
        <v>267.82</v>
      </c>
      <c r="J504" s="3">
        <f>15102/10^2</f>
        <v>151.02000000000001</v>
      </c>
      <c r="K504" s="3">
        <f>685540905/10^8</f>
        <v>6.8554090499999996</v>
      </c>
      <c r="L504" s="3">
        <f>42152005/10^8</f>
        <v>0.42152004999999998</v>
      </c>
      <c r="M504" s="3">
        <f>622649876/10^8</f>
        <v>6.2264987600000001</v>
      </c>
      <c r="N504" s="5"/>
    </row>
    <row r="505" spans="1:14" x14ac:dyDescent="0.3">
      <c r="A505" s="7">
        <v>44632.239583333336</v>
      </c>
      <c r="B505" s="7">
        <v>44632.25</v>
      </c>
      <c r="C505" s="3">
        <f>9271285/10^5</f>
        <v>92.712850000000003</v>
      </c>
      <c r="D505" s="3">
        <f>12825722/10^5</f>
        <v>128.25721999999999</v>
      </c>
      <c r="E505" s="3"/>
      <c r="F505" s="3"/>
      <c r="G505" s="3">
        <f>-3554437/10^5</f>
        <v>-35.544370000000001</v>
      </c>
      <c r="H505" s="3">
        <f>1509562674/10^7</f>
        <v>150.9562674</v>
      </c>
      <c r="I505" s="3">
        <f t="shared" si="29"/>
        <v>267.82</v>
      </c>
      <c r="J505" s="3">
        <f>15102/10^2</f>
        <v>151.02000000000001</v>
      </c>
      <c r="K505" s="3">
        <f>650749964/10^8</f>
        <v>6.5074996399999998</v>
      </c>
      <c r="L505" s="3">
        <f>4233914/10^7</f>
        <v>0.42339139999999997</v>
      </c>
      <c r="M505" s="3">
        <f>869955047/10^8</f>
        <v>8.6995504700000001</v>
      </c>
      <c r="N505" s="5"/>
    </row>
    <row r="506" spans="1:14" x14ac:dyDescent="0.3">
      <c r="A506" s="7">
        <v>44632.25</v>
      </c>
      <c r="B506" s="7">
        <v>44632.260416666664</v>
      </c>
      <c r="C506" s="3">
        <f>4356486/10^5</f>
        <v>43.564860000000003</v>
      </c>
      <c r="D506" s="3">
        <f>6113266/10^5</f>
        <v>61.132660000000001</v>
      </c>
      <c r="E506" s="3"/>
      <c r="F506" s="3"/>
      <c r="G506" s="3">
        <f>-175678/10^4</f>
        <v>-17.567799999999998</v>
      </c>
      <c r="H506" s="3">
        <f>1474625943/10^7</f>
        <v>147.46259430000001</v>
      </c>
      <c r="I506" s="3">
        <f t="shared" si="29"/>
        <v>267.82</v>
      </c>
      <c r="J506" s="3">
        <f>15131/10^2</f>
        <v>151.31</v>
      </c>
      <c r="K506" s="3">
        <f>678752529/10^8</f>
        <v>6.7875252899999996</v>
      </c>
      <c r="L506" s="3">
        <f>77180473/10^8</f>
        <v>0.77180473000000005</v>
      </c>
      <c r="M506" s="3">
        <f>432588755/10^8</f>
        <v>4.32588755</v>
      </c>
      <c r="N506" s="5"/>
    </row>
    <row r="507" spans="1:14" x14ac:dyDescent="0.3">
      <c r="A507" s="7">
        <v>44632.260416666664</v>
      </c>
      <c r="B507" s="7">
        <v>44632.270833333336</v>
      </c>
      <c r="C507" s="3">
        <f>5648186/10^5</f>
        <v>56.481859999999998</v>
      </c>
      <c r="D507" s="3">
        <f>9989214/10^5</f>
        <v>99.892139999999998</v>
      </c>
      <c r="E507" s="3"/>
      <c r="F507" s="3"/>
      <c r="G507" s="3">
        <f>-4341028/10^5</f>
        <v>-43.41028</v>
      </c>
      <c r="H507" s="3">
        <f>1503771933/10^7</f>
        <v>150.37719329999999</v>
      </c>
      <c r="I507" s="3">
        <f t="shared" si="29"/>
        <v>267.82</v>
      </c>
      <c r="J507" s="3">
        <f>15095/10^2</f>
        <v>150.94999999999999</v>
      </c>
      <c r="K507" s="3">
        <f>644641299/10^8</f>
        <v>6.4464129899999998</v>
      </c>
      <c r="L507" s="3">
        <f>78250249/10^8</f>
        <v>0.78250249000000005</v>
      </c>
      <c r="M507" s="3">
        <f>456500082/10^8</f>
        <v>4.5650008199999998</v>
      </c>
      <c r="N507" s="5"/>
    </row>
    <row r="508" spans="1:14" x14ac:dyDescent="0.3">
      <c r="A508" s="7">
        <v>44632.270833333336</v>
      </c>
      <c r="B508" s="7">
        <v>44632.28125</v>
      </c>
      <c r="C508" s="3">
        <f>6983505/10^5</f>
        <v>69.835049999999995</v>
      </c>
      <c r="D508" s="3">
        <f>10805324/10^5</f>
        <v>108.05324</v>
      </c>
      <c r="E508" s="3"/>
      <c r="F508" s="3"/>
      <c r="G508" s="3">
        <f>-3821819/10^5</f>
        <v>-38.21819</v>
      </c>
      <c r="H508" s="3">
        <f>1498545334/10^7</f>
        <v>149.85453340000001</v>
      </c>
      <c r="I508" s="3">
        <f t="shared" si="29"/>
        <v>267.82</v>
      </c>
      <c r="J508" s="3">
        <f>15131/10^2</f>
        <v>151.31</v>
      </c>
      <c r="K508" s="3">
        <f>637284299/10^8</f>
        <v>6.3728429899999997</v>
      </c>
      <c r="L508" s="3">
        <f>64366102/10^8</f>
        <v>0.64366102000000003</v>
      </c>
      <c r="M508" s="3">
        <f>70258189/10^7</f>
        <v>7.0258189</v>
      </c>
      <c r="N508" s="5"/>
    </row>
    <row r="509" spans="1:14" x14ac:dyDescent="0.3">
      <c r="A509" s="7">
        <v>44632.28125</v>
      </c>
      <c r="B509" s="7">
        <v>44632.291666666664</v>
      </c>
      <c r="C509" s="3">
        <f>4004614/10^5</f>
        <v>40.046140000000001</v>
      </c>
      <c r="D509" s="3">
        <f>9354497/10^5</f>
        <v>93.544970000000006</v>
      </c>
      <c r="E509" s="3"/>
      <c r="F509" s="3"/>
      <c r="G509" s="3">
        <f>-5349883/10^5</f>
        <v>-53.498829999999998</v>
      </c>
      <c r="H509" s="3">
        <f>1488027/10^4</f>
        <v>148.80269999999999</v>
      </c>
      <c r="I509" s="3">
        <f t="shared" si="29"/>
        <v>267.82</v>
      </c>
      <c r="J509" s="3">
        <f>15131/10^2</f>
        <v>151.31</v>
      </c>
      <c r="K509" s="3">
        <f>644382267/10^8</f>
        <v>6.4438226700000003</v>
      </c>
      <c r="L509" s="3">
        <f>62914479/10^8</f>
        <v>0.62914479000000001</v>
      </c>
      <c r="M509" s="3">
        <f>338787759/10^8</f>
        <v>3.38787759</v>
      </c>
      <c r="N509" s="5"/>
    </row>
    <row r="510" spans="1:14" x14ac:dyDescent="0.3">
      <c r="A510" s="7">
        <v>44632.291666666664</v>
      </c>
      <c r="B510" s="7">
        <v>44632.302083333336</v>
      </c>
      <c r="C510" s="3">
        <f>284024/10^4</f>
        <v>28.4024</v>
      </c>
      <c r="D510" s="3">
        <f>8824553/10^5</f>
        <v>88.245530000000002</v>
      </c>
      <c r="E510" s="3"/>
      <c r="F510" s="3"/>
      <c r="G510" s="3">
        <f>-5984313/10^5</f>
        <v>-59.843130000000002</v>
      </c>
      <c r="H510" s="3">
        <f>1428238424/10^7</f>
        <v>142.82384239999999</v>
      </c>
      <c r="I510" s="3">
        <f t="shared" si="29"/>
        <v>267.82</v>
      </c>
      <c r="J510" s="3">
        <f>15029/10^2</f>
        <v>150.29</v>
      </c>
      <c r="K510" s="3">
        <f>623511263/10^8</f>
        <v>6.2351126299999997</v>
      </c>
      <c r="L510" s="3">
        <f>64998226/10^8</f>
        <v>0.64998226000000003</v>
      </c>
      <c r="M510" s="3">
        <f>321351707/10^8</f>
        <v>3.21351707</v>
      </c>
      <c r="N510" s="5"/>
    </row>
    <row r="511" spans="1:14" x14ac:dyDescent="0.3">
      <c r="A511" s="7">
        <v>44632.302083333336</v>
      </c>
      <c r="B511" s="7">
        <v>44632.3125</v>
      </c>
      <c r="C511" s="3">
        <f>3950339/10^5</f>
        <v>39.503390000000003</v>
      </c>
      <c r="D511" s="3">
        <f>16124327/10^5</f>
        <v>161.24327</v>
      </c>
      <c r="E511" s="3"/>
      <c r="F511" s="3"/>
      <c r="G511" s="3">
        <f>-12173988/10^5</f>
        <v>-121.73988</v>
      </c>
      <c r="H511" s="3">
        <f>1498262394/10^7</f>
        <v>149.82623939999999</v>
      </c>
      <c r="I511" s="3">
        <f t="shared" si="29"/>
        <v>267.82</v>
      </c>
      <c r="J511" s="3">
        <f>15095/10^2</f>
        <v>150.94999999999999</v>
      </c>
      <c r="K511" s="3">
        <f>605905882/10^8</f>
        <v>6.0590588199999997</v>
      </c>
      <c r="L511" s="3">
        <f>64629752/10^8</f>
        <v>0.64629751999999996</v>
      </c>
      <c r="M511" s="3">
        <f>287961422/10^8</f>
        <v>2.8796142200000001</v>
      </c>
      <c r="N511" s="5"/>
    </row>
    <row r="512" spans="1:14" x14ac:dyDescent="0.3">
      <c r="A512" s="7">
        <v>44632.3125</v>
      </c>
      <c r="B512" s="7">
        <v>44632.322916666664</v>
      </c>
      <c r="C512" s="3">
        <f>5791756/10^5</f>
        <v>57.917560000000002</v>
      </c>
      <c r="D512" s="3">
        <f>18663215/10^5</f>
        <v>186.63215</v>
      </c>
      <c r="E512" s="3"/>
      <c r="F512" s="3"/>
      <c r="G512" s="3">
        <f>-12871459/10^5</f>
        <v>-128.71458999999999</v>
      </c>
      <c r="H512" s="3">
        <f>1357524107/10^7</f>
        <v>135.75241070000001</v>
      </c>
      <c r="I512" s="3">
        <f t="shared" si="29"/>
        <v>267.82</v>
      </c>
      <c r="J512" s="3">
        <f>15102/10^2</f>
        <v>151.02000000000001</v>
      </c>
      <c r="K512" s="3">
        <f>589009094/10^8</f>
        <v>5.8900909400000003</v>
      </c>
      <c r="L512" s="3">
        <f>62257487/10^8</f>
        <v>0.62257487</v>
      </c>
      <c r="M512" s="3">
        <f>466722753/10^8</f>
        <v>4.6672275299999999</v>
      </c>
      <c r="N512" s="5"/>
    </row>
    <row r="513" spans="1:14" x14ac:dyDescent="0.3">
      <c r="A513" s="7">
        <v>44632.322916666664</v>
      </c>
      <c r="B513" s="7">
        <v>44632.333333333336</v>
      </c>
      <c r="C513" s="3">
        <f>4120802/10^5</f>
        <v>41.208019999999998</v>
      </c>
      <c r="D513" s="3">
        <f>20019882/10^5</f>
        <v>200.19882000000001</v>
      </c>
      <c r="E513" s="3"/>
      <c r="F513" s="3"/>
      <c r="G513" s="3">
        <f>-1589908/10^4</f>
        <v>-158.99080000000001</v>
      </c>
      <c r="H513" s="3">
        <f>1499880608/10^7</f>
        <v>149.9880608</v>
      </c>
      <c r="I513" s="3">
        <f t="shared" si="29"/>
        <v>267.82</v>
      </c>
      <c r="J513" s="3">
        <f>15087/10^2</f>
        <v>150.87</v>
      </c>
      <c r="K513" s="3">
        <f>599896764/10^8</f>
        <v>5.99896764</v>
      </c>
      <c r="L513" s="3">
        <f>61511449/10^8</f>
        <v>0.61511448999999996</v>
      </c>
      <c r="M513" s="3">
        <f>341451571/10^8</f>
        <v>3.4145157099999999</v>
      </c>
      <c r="N513" s="5"/>
    </row>
    <row r="514" spans="1:14" x14ac:dyDescent="0.3">
      <c r="A514" s="7">
        <v>44632.333333333336</v>
      </c>
      <c r="B514" s="7">
        <v>44632.34375</v>
      </c>
      <c r="C514" s="3">
        <f>5197494/10^5</f>
        <v>51.974939999999997</v>
      </c>
      <c r="D514" s="3">
        <f>20194325/10^5</f>
        <v>201.94325000000001</v>
      </c>
      <c r="E514" s="3"/>
      <c r="F514" s="3"/>
      <c r="G514" s="3">
        <f>-14996831/10^5</f>
        <v>-149.96831</v>
      </c>
      <c r="H514" s="3">
        <f>1500602041/10^7</f>
        <v>150.06020409999999</v>
      </c>
      <c r="I514" s="3">
        <f>23555/10^2</f>
        <v>235.55</v>
      </c>
      <c r="J514" s="3">
        <f>15009/10^2</f>
        <v>150.09</v>
      </c>
      <c r="K514" s="3">
        <f>679622533/10^8</f>
        <v>6.7962253300000004</v>
      </c>
      <c r="L514" s="3">
        <f>41113141/10^8</f>
        <v>0.41113140999999997</v>
      </c>
      <c r="M514" s="3">
        <f>329712626/10^8</f>
        <v>3.2971262600000002</v>
      </c>
      <c r="N514" s="5"/>
    </row>
    <row r="515" spans="1:14" x14ac:dyDescent="0.3">
      <c r="A515" s="7">
        <v>44632.34375</v>
      </c>
      <c r="B515" s="7">
        <v>44632.354166666664</v>
      </c>
      <c r="C515" s="3">
        <f>4056365/10^5</f>
        <v>40.563650000000003</v>
      </c>
      <c r="D515" s="3">
        <f>17571407/10^5</f>
        <v>175.71406999999999</v>
      </c>
      <c r="E515" s="3"/>
      <c r="F515" s="3"/>
      <c r="G515" s="3">
        <f>-13515042/10^5</f>
        <v>-135.15042</v>
      </c>
      <c r="H515" s="3">
        <f>1509601322/10^7</f>
        <v>150.9601322</v>
      </c>
      <c r="I515" s="3">
        <f>236/10^0</f>
        <v>236</v>
      </c>
      <c r="J515" s="3">
        <f>15102/10^2</f>
        <v>151.02000000000001</v>
      </c>
      <c r="K515" s="3">
        <f>677581864/10^8</f>
        <v>6.7758186399999998</v>
      </c>
      <c r="L515" s="3">
        <f>41761333/10^8</f>
        <v>0.41761333</v>
      </c>
      <c r="M515" s="3">
        <f>250338733/10^8</f>
        <v>2.5033873299999998</v>
      </c>
      <c r="N515" s="5"/>
    </row>
    <row r="516" spans="1:14" x14ac:dyDescent="0.3">
      <c r="A516" s="7">
        <v>44632.354166666664</v>
      </c>
      <c r="B516" s="7">
        <v>44632.364583333336</v>
      </c>
      <c r="C516" s="3">
        <f>5006419/10^5</f>
        <v>50.064190000000004</v>
      </c>
      <c r="D516" s="3">
        <f>19434679/10^5</f>
        <v>194.34679</v>
      </c>
      <c r="E516" s="3"/>
      <c r="F516" s="3"/>
      <c r="G516" s="3">
        <f>-1442826/10^4</f>
        <v>-144.2826</v>
      </c>
      <c r="H516" s="3">
        <f>150901401/10^6</f>
        <v>150.90140099999999</v>
      </c>
      <c r="I516" s="3">
        <f>236/10^0</f>
        <v>236</v>
      </c>
      <c r="J516" s="3">
        <f>15093/10^2</f>
        <v>150.93</v>
      </c>
      <c r="K516" s="3">
        <f>663769927/10^8</f>
        <v>6.6376992699999997</v>
      </c>
      <c r="L516" s="3">
        <f>39810772/10^8</f>
        <v>0.39810772</v>
      </c>
      <c r="M516" s="3">
        <f>300644062/10^8</f>
        <v>3.0064406199999998</v>
      </c>
      <c r="N516" s="5"/>
    </row>
    <row r="517" spans="1:14" x14ac:dyDescent="0.3">
      <c r="A517" s="7">
        <v>44632.364583333336</v>
      </c>
      <c r="B517" s="7">
        <v>44632.375</v>
      </c>
      <c r="C517" s="3">
        <f>5557787/10^5</f>
        <v>55.577869999999997</v>
      </c>
      <c r="D517" s="3">
        <f>19928339/10^5</f>
        <v>199.28339</v>
      </c>
      <c r="E517" s="3"/>
      <c r="F517" s="3"/>
      <c r="G517" s="3">
        <f>-14370552/10^5</f>
        <v>-143.70552000000001</v>
      </c>
      <c r="H517" s="3">
        <f>1508377861/10^7</f>
        <v>150.83778609999999</v>
      </c>
      <c r="I517" s="3">
        <f>236/10^0</f>
        <v>236</v>
      </c>
      <c r="J517" s="3">
        <f>1509/10^1</f>
        <v>150.9</v>
      </c>
      <c r="K517" s="3">
        <f>679174439/10^8</f>
        <v>6.7917443899999999</v>
      </c>
      <c r="L517" s="3">
        <f>38814937/10^8</f>
        <v>0.38814936999999999</v>
      </c>
      <c r="M517" s="3">
        <f>35863777/10^7</f>
        <v>3.5863776999999999</v>
      </c>
      <c r="N517" s="5"/>
    </row>
    <row r="518" spans="1:14" x14ac:dyDescent="0.3">
      <c r="A518" s="7">
        <v>44632.375</v>
      </c>
      <c r="B518" s="7">
        <v>44632.385416666664</v>
      </c>
      <c r="C518" s="3">
        <f>6808638/10^5</f>
        <v>68.086380000000005</v>
      </c>
      <c r="D518" s="3">
        <f>17353142/10^5</f>
        <v>173.53142</v>
      </c>
      <c r="E518" s="3"/>
      <c r="F518" s="3"/>
      <c r="G518" s="3">
        <f>-10544504/10^5</f>
        <v>-105.44504000000001</v>
      </c>
      <c r="H518" s="3">
        <f>1509841738/10^7</f>
        <v>150.98417380000001</v>
      </c>
      <c r="I518" s="3">
        <f>28306/10^2</f>
        <v>283.06</v>
      </c>
      <c r="J518" s="3">
        <f>15102/10^2</f>
        <v>151.02000000000001</v>
      </c>
      <c r="K518" s="3">
        <f>724105162/10^8</f>
        <v>7.2410516200000004</v>
      </c>
      <c r="L518" s="3">
        <f>88152009/10^8</f>
        <v>0.88152008999999998</v>
      </c>
      <c r="M518" s="3">
        <f>512144058/10^8</f>
        <v>5.1214405799999998</v>
      </c>
      <c r="N518" s="5"/>
    </row>
    <row r="519" spans="1:14" x14ac:dyDescent="0.3">
      <c r="A519" s="7">
        <v>44632.385416666664</v>
      </c>
      <c r="B519" s="7">
        <v>44632.395833333336</v>
      </c>
      <c r="C519" s="3">
        <f>4678043/10^5</f>
        <v>46.780430000000003</v>
      </c>
      <c r="D519" s="3">
        <f>15609559/10^5</f>
        <v>156.09558999999999</v>
      </c>
      <c r="E519" s="3"/>
      <c r="F519" s="3"/>
      <c r="G519" s="3">
        <f>-10931516/10^5</f>
        <v>-109.31516000000001</v>
      </c>
      <c r="H519" s="3">
        <f>1509752479/10^7</f>
        <v>150.9752479</v>
      </c>
      <c r="I519" s="3">
        <f>28306/10^2</f>
        <v>283.06</v>
      </c>
      <c r="J519" s="3">
        <f>15102/10^2</f>
        <v>151.02000000000001</v>
      </c>
      <c r="K519" s="3">
        <f>716431161/10^8</f>
        <v>7.1643116100000004</v>
      </c>
      <c r="L519" s="3">
        <f>85426182/10^8</f>
        <v>0.85426181999999995</v>
      </c>
      <c r="M519" s="3">
        <f>332731201/10^8</f>
        <v>3.32731201</v>
      </c>
      <c r="N519" s="5"/>
    </row>
    <row r="520" spans="1:14" x14ac:dyDescent="0.3">
      <c r="A520" s="7">
        <v>44632.395833333336</v>
      </c>
      <c r="B520" s="7">
        <v>44632.40625</v>
      </c>
      <c r="C520" s="3">
        <f>4060613/10^5</f>
        <v>40.60613</v>
      </c>
      <c r="D520" s="3">
        <f>15222206/10^5</f>
        <v>152.22206</v>
      </c>
      <c r="E520" s="3"/>
      <c r="F520" s="3"/>
      <c r="G520" s="3">
        <f>-11161593/10^5</f>
        <v>-111.61593000000001</v>
      </c>
      <c r="H520" s="3">
        <f>1512682285/10^7</f>
        <v>151.26822849999999</v>
      </c>
      <c r="I520" s="3">
        <f>25658/10^2</f>
        <v>256.58</v>
      </c>
      <c r="J520" s="3">
        <f>15131/10^2</f>
        <v>151.31</v>
      </c>
      <c r="K520" s="3">
        <f>708276606/10^8</f>
        <v>7.08276606</v>
      </c>
      <c r="L520" s="3">
        <f>42502236/10^8</f>
        <v>0.42502235999999999</v>
      </c>
      <c r="M520" s="3">
        <f>237911913/10^8</f>
        <v>2.3791191299999999</v>
      </c>
      <c r="N520" s="5"/>
    </row>
    <row r="521" spans="1:14" x14ac:dyDescent="0.3">
      <c r="A521" s="7">
        <v>44632.40625</v>
      </c>
      <c r="B521" s="7">
        <v>44632.416666666664</v>
      </c>
      <c r="C521" s="3">
        <f>3997727/10^5</f>
        <v>39.977269999999997</v>
      </c>
      <c r="D521" s="3">
        <f>17314998/10^5</f>
        <v>173.14998</v>
      </c>
      <c r="E521" s="3"/>
      <c r="F521" s="3"/>
      <c r="G521" s="3">
        <f>-13317271/10^5</f>
        <v>-133.17271</v>
      </c>
      <c r="H521" s="3">
        <f>14775325/10^5</f>
        <v>147.75325000000001</v>
      </c>
      <c r="I521" s="3">
        <f>25658/10^2</f>
        <v>256.58</v>
      </c>
      <c r="J521" s="3">
        <f>15102/10^2</f>
        <v>151.02000000000001</v>
      </c>
      <c r="K521" s="3">
        <f>701646411/10^8</f>
        <v>7.0164641100000003</v>
      </c>
      <c r="L521" s="3">
        <f>41483878/10^8</f>
        <v>0.41483878000000002</v>
      </c>
      <c r="M521" s="3">
        <f>244109399/10^8</f>
        <v>2.4410939900000002</v>
      </c>
      <c r="N521" s="5"/>
    </row>
    <row r="522" spans="1:14" x14ac:dyDescent="0.3">
      <c r="A522" s="7">
        <v>44632.416666666664</v>
      </c>
      <c r="B522" s="7">
        <v>44632.427083333336</v>
      </c>
      <c r="C522" s="3">
        <f>1651182/10^5</f>
        <v>16.51182</v>
      </c>
      <c r="D522" s="3">
        <f>18482293/10^5</f>
        <v>184.82293000000001</v>
      </c>
      <c r="E522" s="3"/>
      <c r="F522" s="3"/>
      <c r="G522" s="3">
        <f>-16831111/10^5</f>
        <v>-168.31111000000001</v>
      </c>
      <c r="H522" s="3">
        <f>150795603/10^6</f>
        <v>150.795603</v>
      </c>
      <c r="I522" s="3">
        <f>27451/10^2</f>
        <v>274.51</v>
      </c>
      <c r="J522" s="3">
        <f>15087/10^2</f>
        <v>150.87</v>
      </c>
      <c r="K522" s="3">
        <f>79440312/10^7</f>
        <v>7.9440312000000004</v>
      </c>
      <c r="L522" s="3">
        <f>8011006/10^7</f>
        <v>0.80110060000000005</v>
      </c>
      <c r="M522" s="3">
        <f>134518414/10^8</f>
        <v>1.34518414</v>
      </c>
      <c r="N522" s="5"/>
    </row>
    <row r="523" spans="1:14" x14ac:dyDescent="0.3">
      <c r="A523" s="7">
        <v>44632.427083333336</v>
      </c>
      <c r="B523" s="7">
        <v>44632.4375</v>
      </c>
      <c r="C523" s="3">
        <f>6711545/10^5</f>
        <v>67.115449999999996</v>
      </c>
      <c r="D523" s="3">
        <f>19929395/10^5</f>
        <v>199.29395</v>
      </c>
      <c r="E523" s="3"/>
      <c r="F523" s="3"/>
      <c r="G523" s="3">
        <f>-1321785/10^4</f>
        <v>-132.17850000000001</v>
      </c>
      <c r="H523" s="3">
        <f>1319919196/10^7</f>
        <v>131.99191959999999</v>
      </c>
      <c r="I523" s="3">
        <f>27451/10^2</f>
        <v>274.51</v>
      </c>
      <c r="J523" s="3">
        <f>132/10^0</f>
        <v>132</v>
      </c>
      <c r="K523" s="3">
        <f>780597683/10^8</f>
        <v>7.8059768299999996</v>
      </c>
      <c r="L523" s="3">
        <f>78846485/10^8</f>
        <v>0.78846484999999999</v>
      </c>
      <c r="M523" s="3">
        <f>538449968/10^8</f>
        <v>5.3844996800000002</v>
      </c>
      <c r="N523" s="5"/>
    </row>
    <row r="524" spans="1:14" x14ac:dyDescent="0.3">
      <c r="A524" s="7">
        <v>44632.4375</v>
      </c>
      <c r="B524" s="7">
        <v>44632.447916666664</v>
      </c>
      <c r="C524" s="3">
        <f>5099051/10^5</f>
        <v>50.99051</v>
      </c>
      <c r="D524" s="3">
        <f>17381069/10^5</f>
        <v>173.81068999999999</v>
      </c>
      <c r="E524" s="3"/>
      <c r="F524" s="3"/>
      <c r="G524" s="3">
        <f>-12282018/10^5</f>
        <v>-122.82017999999999</v>
      </c>
      <c r="H524" s="3">
        <f>1508110653/10^7</f>
        <v>150.8110653</v>
      </c>
      <c r="I524" s="3">
        <f>27451/10^2</f>
        <v>274.51</v>
      </c>
      <c r="J524" s="3">
        <f>15088/10^2</f>
        <v>150.88</v>
      </c>
      <c r="K524" s="3">
        <f>779154284/10^8</f>
        <v>7.79154284</v>
      </c>
      <c r="L524" s="3">
        <f>76399394/10^8</f>
        <v>0.76399393999999998</v>
      </c>
      <c r="M524" s="3">
        <f>315199386/10^8</f>
        <v>3.1519938600000001</v>
      </c>
      <c r="N524" s="5"/>
    </row>
    <row r="525" spans="1:14" x14ac:dyDescent="0.3">
      <c r="A525" s="7">
        <v>44632.447916666664</v>
      </c>
      <c r="B525" s="7">
        <v>44632.458333333336</v>
      </c>
      <c r="C525" s="3">
        <f>6115335/10^5</f>
        <v>61.153350000000003</v>
      </c>
      <c r="D525" s="3">
        <f>14981962/10^5</f>
        <v>149.81961999999999</v>
      </c>
      <c r="E525" s="3"/>
      <c r="F525" s="3"/>
      <c r="G525" s="3">
        <f>-8866627/10^5</f>
        <v>-88.666269999999997</v>
      </c>
      <c r="H525" s="3">
        <f>1508641093/10^7</f>
        <v>150.8641093</v>
      </c>
      <c r="I525" s="3">
        <f>27451/10^2</f>
        <v>274.51</v>
      </c>
      <c r="J525" s="3">
        <f>1509/10^1</f>
        <v>150.9</v>
      </c>
      <c r="K525" s="3">
        <f>777759884/10^8</f>
        <v>7.7775988399999996</v>
      </c>
      <c r="L525" s="3">
        <f>76192158/10^8</f>
        <v>0.76192157999999999</v>
      </c>
      <c r="M525" s="3">
        <f>411957499/10^8</f>
        <v>4.1195749900000003</v>
      </c>
      <c r="N525" s="5"/>
    </row>
    <row r="526" spans="1:14" x14ac:dyDescent="0.3">
      <c r="A526" s="7">
        <v>44632.458333333336</v>
      </c>
      <c r="B526" s="7">
        <v>44632.46875</v>
      </c>
      <c r="C526" s="3">
        <f>2090025/10^5</f>
        <v>20.90025</v>
      </c>
      <c r="D526" s="3">
        <f>13484478/10^5</f>
        <v>134.84477999999999</v>
      </c>
      <c r="E526" s="3"/>
      <c r="F526" s="3"/>
      <c r="G526" s="3">
        <f>-11394453/10^5</f>
        <v>-113.94453</v>
      </c>
      <c r="H526" s="3">
        <f>1510195383/10^7</f>
        <v>151.01953829999999</v>
      </c>
      <c r="I526" s="3">
        <f>26512/10^2</f>
        <v>265.12</v>
      </c>
      <c r="J526" s="3">
        <f>15102/10^2</f>
        <v>151.02000000000001</v>
      </c>
      <c r="K526" s="3">
        <f>751849846/10^8</f>
        <v>7.51849846</v>
      </c>
      <c r="L526" s="3">
        <f>7876569/10^7</f>
        <v>0.78765689999999999</v>
      </c>
      <c r="M526" s="3">
        <f>178121437/10^8</f>
        <v>1.78121437</v>
      </c>
      <c r="N526" s="5"/>
    </row>
    <row r="527" spans="1:14" x14ac:dyDescent="0.3">
      <c r="A527" s="7">
        <v>44632.46875</v>
      </c>
      <c r="B527" s="7">
        <v>44632.479166666664</v>
      </c>
      <c r="C527" s="3">
        <f>633626/10^4</f>
        <v>63.3626</v>
      </c>
      <c r="D527" s="3">
        <f>1508763/10^4</f>
        <v>150.87629999999999</v>
      </c>
      <c r="E527" s="3"/>
      <c r="F527" s="3"/>
      <c r="G527" s="3">
        <f>-875137/10^4</f>
        <v>-87.5137</v>
      </c>
      <c r="H527" s="3">
        <f>1509696735/10^7</f>
        <v>150.9696735</v>
      </c>
      <c r="I527" s="3">
        <f>26512/10^2</f>
        <v>265.12</v>
      </c>
      <c r="J527" s="3">
        <f>15102/10^2</f>
        <v>151.02000000000001</v>
      </c>
      <c r="K527" s="3">
        <f>765865759/10^8</f>
        <v>7.6586575899999998</v>
      </c>
      <c r="L527" s="3">
        <f>76964013/10^8</f>
        <v>0.76964012999999998</v>
      </c>
      <c r="M527" s="3">
        <f>415767834/10^8</f>
        <v>4.1576783400000004</v>
      </c>
      <c r="N527" s="5"/>
    </row>
    <row r="528" spans="1:14" x14ac:dyDescent="0.3">
      <c r="A528" s="7">
        <v>44632.479166666664</v>
      </c>
      <c r="B528" s="7">
        <v>44632.489583333336</v>
      </c>
      <c r="C528" s="3">
        <f>5379159/10^5</f>
        <v>53.791589999999999</v>
      </c>
      <c r="D528" s="3">
        <f>11187011/10^5</f>
        <v>111.87011</v>
      </c>
      <c r="E528" s="3"/>
      <c r="F528" s="3"/>
      <c r="G528" s="3">
        <f>-5807852/10^5</f>
        <v>-58.078519999999997</v>
      </c>
      <c r="H528" s="3">
        <f>1569795084/10^7</f>
        <v>156.97950839999999</v>
      </c>
      <c r="I528" s="3">
        <f>26512/10^2</f>
        <v>265.12</v>
      </c>
      <c r="J528" s="3">
        <f>157/10^0</f>
        <v>157</v>
      </c>
      <c r="K528" s="3">
        <f>765684716/10^8</f>
        <v>7.6568471599999999</v>
      </c>
      <c r="L528" s="3">
        <f>71579107/10^8</f>
        <v>0.71579106999999997</v>
      </c>
      <c r="M528" s="3">
        <f>311658778/10^8</f>
        <v>3.1165877800000001</v>
      </c>
      <c r="N528" s="5"/>
    </row>
    <row r="529" spans="1:14" x14ac:dyDescent="0.3">
      <c r="A529" s="7">
        <v>44632.489583333336</v>
      </c>
      <c r="B529" s="7">
        <v>44632.5</v>
      </c>
      <c r="C529" s="3">
        <f>5050237/10^5</f>
        <v>50.502369999999999</v>
      </c>
      <c r="D529" s="3">
        <f>11021385/10^5</f>
        <v>110.21384999999999</v>
      </c>
      <c r="E529" s="3"/>
      <c r="F529" s="3"/>
      <c r="G529" s="3">
        <f>-5971148/10^5</f>
        <v>-59.711480000000002</v>
      </c>
      <c r="H529" s="3">
        <f>1509547213/10^7</f>
        <v>150.95472129999999</v>
      </c>
      <c r="I529" s="3">
        <f>28286/10^2</f>
        <v>282.86</v>
      </c>
      <c r="J529" s="3">
        <f>15096/10^2</f>
        <v>150.96</v>
      </c>
      <c r="K529" s="3">
        <f>762149029/10^8</f>
        <v>7.6214902899999997</v>
      </c>
      <c r="L529" s="3">
        <f>70966621/10^8</f>
        <v>0.70966620999999996</v>
      </c>
      <c r="M529" s="3">
        <f>334623485/10^8</f>
        <v>3.3462348500000001</v>
      </c>
      <c r="N529" s="5"/>
    </row>
    <row r="530" spans="1:14" x14ac:dyDescent="0.3">
      <c r="A530" s="7">
        <v>44632.5</v>
      </c>
      <c r="B530" s="7">
        <v>44632.510416666664</v>
      </c>
      <c r="C530" s="3">
        <f>4702992/10^5</f>
        <v>47.029919999999997</v>
      </c>
      <c r="D530" s="3">
        <f>5348741/10^5</f>
        <v>53.487409999999997</v>
      </c>
      <c r="E530" s="3"/>
      <c r="F530" s="3"/>
      <c r="G530" s="3">
        <f>-645749/10^5</f>
        <v>-6.45749</v>
      </c>
      <c r="H530" s="3">
        <f>1509481565/10^7</f>
        <v>150.94815650000001</v>
      </c>
      <c r="I530" s="3">
        <f>349/10^0</f>
        <v>349</v>
      </c>
      <c r="J530" s="3">
        <f>15096/10^2</f>
        <v>150.96</v>
      </c>
      <c r="K530" s="3">
        <f>745432066/10^8</f>
        <v>7.4543206599999996</v>
      </c>
      <c r="L530" s="3">
        <f>11506428/10^7</f>
        <v>1.1506428</v>
      </c>
      <c r="M530" s="3">
        <f>432755952/10^8</f>
        <v>4.3275595200000003</v>
      </c>
      <c r="N530" s="5"/>
    </row>
    <row r="531" spans="1:14" x14ac:dyDescent="0.3">
      <c r="A531" s="7">
        <v>44632.510416666664</v>
      </c>
      <c r="B531" s="7">
        <v>44632.520833333336</v>
      </c>
      <c r="C531" s="3">
        <f>5640117/10^5</f>
        <v>56.40117</v>
      </c>
      <c r="D531" s="3">
        <f>4958308/10^5</f>
        <v>49.583080000000002</v>
      </c>
      <c r="E531" s="3"/>
      <c r="F531" s="3"/>
      <c r="G531" s="3">
        <f>681809/10^5</f>
        <v>6.8180899999999998</v>
      </c>
      <c r="H531" s="3">
        <f>2848750442/10^7</f>
        <v>284.87504419999999</v>
      </c>
      <c r="I531" s="3">
        <f>28456/10^2</f>
        <v>284.56</v>
      </c>
      <c r="J531" s="3">
        <f>167/10^0</f>
        <v>167</v>
      </c>
      <c r="K531" s="3">
        <f>850478351/10^8</f>
        <v>8.5047835099999993</v>
      </c>
      <c r="L531" s="3">
        <f>114830086/10^8</f>
        <v>1.14830086</v>
      </c>
      <c r="M531" s="3">
        <f>29634946/10^7</f>
        <v>2.9634946000000002</v>
      </c>
      <c r="N531" s="5"/>
    </row>
    <row r="532" spans="1:14" x14ac:dyDescent="0.3">
      <c r="A532" s="7">
        <v>44632.520833333336</v>
      </c>
      <c r="B532" s="7">
        <v>44632.53125</v>
      </c>
      <c r="C532" s="3">
        <f>9422925/10^5</f>
        <v>94.229249999999993</v>
      </c>
      <c r="D532" s="3">
        <f>4194374/10^5</f>
        <v>41.943739999999998</v>
      </c>
      <c r="E532" s="3"/>
      <c r="F532" s="3"/>
      <c r="G532" s="3">
        <f>5228551/10^5</f>
        <v>52.285510000000002</v>
      </c>
      <c r="H532" s="3">
        <f>2857658036/10^7</f>
        <v>285.76580360000003</v>
      </c>
      <c r="I532" s="3">
        <f>28456/10^2</f>
        <v>284.56</v>
      </c>
      <c r="J532" s="3">
        <f>167/10^0</f>
        <v>167</v>
      </c>
      <c r="K532" s="3">
        <f>884887468/10^8</f>
        <v>8.8488746799999998</v>
      </c>
      <c r="L532" s="3">
        <f>133514939/10^8</f>
        <v>1.33514939</v>
      </c>
      <c r="M532" s="3">
        <f>302327625/10^8</f>
        <v>3.0232762499999999</v>
      </c>
      <c r="N532" s="5"/>
    </row>
    <row r="533" spans="1:14" x14ac:dyDescent="0.3">
      <c r="A533" s="7">
        <v>44632.53125</v>
      </c>
      <c r="B533" s="7">
        <v>44632.541666666664</v>
      </c>
      <c r="C533" s="3">
        <f>7205798/10^5</f>
        <v>72.057980000000001</v>
      </c>
      <c r="D533" s="3">
        <f>4193876/10^5</f>
        <v>41.938760000000002</v>
      </c>
      <c r="E533" s="3"/>
      <c r="F533" s="3"/>
      <c r="G533" s="3">
        <f>3011922/10^5</f>
        <v>30.119219999999999</v>
      </c>
      <c r="H533" s="3">
        <f>349/10^0</f>
        <v>349</v>
      </c>
      <c r="I533" s="3">
        <f>349/10^0</f>
        <v>349</v>
      </c>
      <c r="J533" s="3">
        <f>172/10^0</f>
        <v>172</v>
      </c>
      <c r="K533" s="3">
        <f>915257868/10^8</f>
        <v>9.1525786799999995</v>
      </c>
      <c r="L533" s="3">
        <f>134720006/10^8</f>
        <v>1.34720006</v>
      </c>
      <c r="M533" s="3">
        <f>372544859/10^8</f>
        <v>3.7254485900000001</v>
      </c>
      <c r="N533" s="5"/>
    </row>
    <row r="534" spans="1:14" x14ac:dyDescent="0.3">
      <c r="A534" s="7">
        <v>44632.541666666664</v>
      </c>
      <c r="B534" s="7">
        <v>44632.552083333336</v>
      </c>
      <c r="C534" s="3">
        <f>7480881/10^5</f>
        <v>74.808809999999994</v>
      </c>
      <c r="D534" s="3">
        <f>6144/10^2</f>
        <v>61.44</v>
      </c>
      <c r="E534" s="3"/>
      <c r="F534" s="3"/>
      <c r="G534" s="3">
        <f>1336881/10^5</f>
        <v>13.36881</v>
      </c>
      <c r="H534" s="3">
        <f>2830059351/10^7</f>
        <v>283.00593509999999</v>
      </c>
      <c r="I534" s="3">
        <f t="shared" ref="I534:I545" si="30">28286/10^2</f>
        <v>282.86</v>
      </c>
      <c r="J534" s="3">
        <f>172/10^0</f>
        <v>172</v>
      </c>
      <c r="K534" s="3">
        <f>828124794/10^8</f>
        <v>8.2812479400000001</v>
      </c>
      <c r="L534" s="3">
        <f>117389644/10^8</f>
        <v>1.17389644</v>
      </c>
      <c r="M534" s="3">
        <f>604069311/10^8</f>
        <v>6.0406931100000003</v>
      </c>
      <c r="N534" s="5"/>
    </row>
    <row r="535" spans="1:14" x14ac:dyDescent="0.3">
      <c r="A535" s="7">
        <v>44632.552083333336</v>
      </c>
      <c r="B535" s="7">
        <v>44632.5625</v>
      </c>
      <c r="C535" s="3">
        <f>3431994/10^5</f>
        <v>34.319940000000003</v>
      </c>
      <c r="D535" s="3">
        <f>4824408/10^5</f>
        <v>48.244079999999997</v>
      </c>
      <c r="E535" s="3"/>
      <c r="F535" s="3"/>
      <c r="G535" s="3">
        <f>-1392414/10^5</f>
        <v>-13.92414</v>
      </c>
      <c r="H535" s="3">
        <f>0/10^0</f>
        <v>0</v>
      </c>
      <c r="I535" s="3">
        <f t="shared" si="30"/>
        <v>282.86</v>
      </c>
      <c r="J535" s="3">
        <f>0/10^0</f>
        <v>0</v>
      </c>
      <c r="K535" s="3">
        <f>662136971/10^8</f>
        <v>6.6213697099999997</v>
      </c>
      <c r="L535" s="3">
        <f>119551639/10^8</f>
        <v>1.1955163900000001</v>
      </c>
      <c r="M535" s="3">
        <f>621251123/10^8</f>
        <v>6.2125112299999996</v>
      </c>
      <c r="N535" s="5"/>
    </row>
    <row r="536" spans="1:14" x14ac:dyDescent="0.3">
      <c r="A536" s="7">
        <v>44632.5625</v>
      </c>
      <c r="B536" s="7">
        <v>44632.572916666664</v>
      </c>
      <c r="C536" s="3">
        <f>2775121/10^5</f>
        <v>27.75121</v>
      </c>
      <c r="D536" s="3">
        <f>4984465/10^5</f>
        <v>49.844650000000001</v>
      </c>
      <c r="E536" s="3"/>
      <c r="F536" s="3"/>
      <c r="G536" s="3">
        <f>-2209344/10^5</f>
        <v>-22.093440000000001</v>
      </c>
      <c r="H536" s="3">
        <f>169904366/10^6</f>
        <v>169.90436600000001</v>
      </c>
      <c r="I536" s="3">
        <f t="shared" si="30"/>
        <v>282.86</v>
      </c>
      <c r="J536" s="3">
        <f>172/10^0</f>
        <v>172</v>
      </c>
      <c r="K536" s="3">
        <f>757835937/10^8</f>
        <v>7.5783593700000003</v>
      </c>
      <c r="L536" s="3">
        <f>117833216/10^8</f>
        <v>1.1783321600000001</v>
      </c>
      <c r="M536" s="3">
        <f>493811958/10^8</f>
        <v>4.9381195800000004</v>
      </c>
      <c r="N536" s="5"/>
    </row>
    <row r="537" spans="1:14" x14ac:dyDescent="0.3">
      <c r="A537" s="7">
        <v>44632.572916666664</v>
      </c>
      <c r="B537" s="7">
        <v>44632.583333333336</v>
      </c>
      <c r="C537" s="3">
        <f>2676958/10^5</f>
        <v>26.769580000000001</v>
      </c>
      <c r="D537" s="3">
        <f>5748946/10^5</f>
        <v>57.489460000000001</v>
      </c>
      <c r="E537" s="3"/>
      <c r="F537" s="3"/>
      <c r="G537" s="3">
        <f>-3071988/10^5</f>
        <v>-30.71988</v>
      </c>
      <c r="H537" s="3">
        <f>1698630997/10^7</f>
        <v>169.86309969999999</v>
      </c>
      <c r="I537" s="3">
        <f t="shared" si="30"/>
        <v>282.86</v>
      </c>
      <c r="J537" s="3">
        <f>172/10^0</f>
        <v>172</v>
      </c>
      <c r="K537" s="3">
        <f>774697184/10^8</f>
        <v>7.7469718399999996</v>
      </c>
      <c r="L537" s="3">
        <f>12003648/10^7</f>
        <v>1.2003648</v>
      </c>
      <c r="M537" s="3">
        <f>442385775/10^8</f>
        <v>4.4238577499999998</v>
      </c>
      <c r="N537" s="5"/>
    </row>
    <row r="538" spans="1:14" x14ac:dyDescent="0.3">
      <c r="A538" s="7">
        <v>44632.583333333336</v>
      </c>
      <c r="B538" s="7">
        <v>44632.59375</v>
      </c>
      <c r="C538" s="3">
        <f>8402875/10^5</f>
        <v>84.028750000000002</v>
      </c>
      <c r="D538" s="3">
        <f>8353322/10^5</f>
        <v>83.53322</v>
      </c>
      <c r="E538" s="3"/>
      <c r="F538" s="3"/>
      <c r="G538" s="3">
        <f>49553/10^5</f>
        <v>0.49553000000000003</v>
      </c>
      <c r="H538" s="3">
        <f>2971387365/10^7</f>
        <v>297.13873649999999</v>
      </c>
      <c r="I538" s="3">
        <f t="shared" si="30"/>
        <v>282.86</v>
      </c>
      <c r="J538" s="3">
        <f>15917/10^2</f>
        <v>159.16999999999999</v>
      </c>
      <c r="K538" s="3">
        <f>832058783/10^8</f>
        <v>8.3205878299999991</v>
      </c>
      <c r="L538" s="3">
        <f>11040441/10^7</f>
        <v>1.1040441000000001</v>
      </c>
      <c r="M538" s="3">
        <f>889517572/10^8</f>
        <v>8.8951757199999992</v>
      </c>
      <c r="N538" s="5"/>
    </row>
    <row r="539" spans="1:14" x14ac:dyDescent="0.3">
      <c r="A539" s="7">
        <v>44632.59375</v>
      </c>
      <c r="B539" s="7">
        <v>44632.604166666664</v>
      </c>
      <c r="C539" s="3">
        <f>6090877/10^5</f>
        <v>60.908769999999997</v>
      </c>
      <c r="D539" s="3">
        <f>359003/10^4</f>
        <v>35.900300000000001</v>
      </c>
      <c r="E539" s="3"/>
      <c r="F539" s="3"/>
      <c r="G539" s="3">
        <f>2500847/10^5</f>
        <v>25.008469999999999</v>
      </c>
      <c r="H539" s="3">
        <f>2834917529/10^7</f>
        <v>283.49175289999999</v>
      </c>
      <c r="I539" s="3">
        <f t="shared" si="30"/>
        <v>282.86</v>
      </c>
      <c r="J539" s="3">
        <f>0/10^0</f>
        <v>0</v>
      </c>
      <c r="K539" s="3">
        <f>81963653/10^7</f>
        <v>8.1963653000000001</v>
      </c>
      <c r="L539" s="3">
        <f>109783086/10^8</f>
        <v>1.09783086</v>
      </c>
      <c r="M539" s="3">
        <f>77713965/10^7</f>
        <v>7.7713964999999998</v>
      </c>
      <c r="N539" s="5"/>
    </row>
    <row r="540" spans="1:14" x14ac:dyDescent="0.3">
      <c r="A540" s="7">
        <v>44632.604166666664</v>
      </c>
      <c r="B540" s="7">
        <v>44632.614583333336</v>
      </c>
      <c r="C540" s="3">
        <f>4304138/10^5</f>
        <v>43.041379999999997</v>
      </c>
      <c r="D540" s="3">
        <f>359322/10^4</f>
        <v>35.932200000000002</v>
      </c>
      <c r="E540" s="3"/>
      <c r="F540" s="3"/>
      <c r="G540" s="3">
        <f>710918/10^5</f>
        <v>7.1091800000000003</v>
      </c>
      <c r="H540" s="3">
        <f>2830572962/10^7</f>
        <v>283.0572962</v>
      </c>
      <c r="I540" s="3">
        <f t="shared" si="30"/>
        <v>282.86</v>
      </c>
      <c r="J540" s="3">
        <f>0/10^0</f>
        <v>0</v>
      </c>
      <c r="K540" s="3">
        <f>800300048/10^8</f>
        <v>8.0030004800000007</v>
      </c>
      <c r="L540" s="3">
        <f>133682874/10^8</f>
        <v>1.3368287400000001</v>
      </c>
      <c r="M540" s="3">
        <f>58560195/10^7</f>
        <v>5.8560195000000004</v>
      </c>
      <c r="N540" s="5"/>
    </row>
    <row r="541" spans="1:14" x14ac:dyDescent="0.3">
      <c r="A541" s="7">
        <v>44632.614583333336</v>
      </c>
      <c r="B541" s="7">
        <v>44632.625</v>
      </c>
      <c r="C541" s="3">
        <f>5008914/10^5</f>
        <v>50.08914</v>
      </c>
      <c r="D541" s="3">
        <f>3709145/10^5</f>
        <v>37.091450000000002</v>
      </c>
      <c r="E541" s="3"/>
      <c r="F541" s="3"/>
      <c r="G541" s="3">
        <f>1299769/10^5</f>
        <v>12.99769</v>
      </c>
      <c r="H541" s="3">
        <f>2833872727/10^7</f>
        <v>283.38727269999998</v>
      </c>
      <c r="I541" s="3">
        <f t="shared" si="30"/>
        <v>282.86</v>
      </c>
      <c r="J541" s="3">
        <f>0/10^0</f>
        <v>0</v>
      </c>
      <c r="K541" s="3">
        <f>812532688/10^8</f>
        <v>8.1253268799999994</v>
      </c>
      <c r="L541" s="3">
        <f>129531301/10^8</f>
        <v>1.2953130100000001</v>
      </c>
      <c r="M541" s="3">
        <f>594565314/10^8</f>
        <v>5.9456531400000001</v>
      </c>
      <c r="N541" s="5"/>
    </row>
    <row r="542" spans="1:14" x14ac:dyDescent="0.3">
      <c r="A542" s="7">
        <v>44632.625</v>
      </c>
      <c r="B542" s="7">
        <v>44632.635416666664</v>
      </c>
      <c r="C542" s="3">
        <f>7363644/10^5</f>
        <v>73.636439999999993</v>
      </c>
      <c r="D542" s="3">
        <f>6372475/10^5</f>
        <v>63.72475</v>
      </c>
      <c r="E542" s="3"/>
      <c r="F542" s="3"/>
      <c r="G542" s="3">
        <f>991169/10^5</f>
        <v>9.9116900000000001</v>
      </c>
      <c r="H542" s="3">
        <f>2868062396/10^7</f>
        <v>286.80623960000003</v>
      </c>
      <c r="I542" s="3">
        <f t="shared" si="30"/>
        <v>282.86</v>
      </c>
      <c r="J542" s="3">
        <f>15917/10^2</f>
        <v>159.16999999999999</v>
      </c>
      <c r="K542" s="3">
        <f>77984362/10^7</f>
        <v>7.7984362000000003</v>
      </c>
      <c r="L542" s="3">
        <f>125442915/10^8</f>
        <v>1.25442915</v>
      </c>
      <c r="M542" s="3">
        <f>860028173/10^8</f>
        <v>8.6002817300000007</v>
      </c>
      <c r="N542" s="5"/>
    </row>
    <row r="543" spans="1:14" x14ac:dyDescent="0.3">
      <c r="A543" s="7">
        <v>44632.635416666664</v>
      </c>
      <c r="B543" s="7">
        <v>44632.645833333336</v>
      </c>
      <c r="C543" s="3">
        <f>5535924/10^5</f>
        <v>55.35924</v>
      </c>
      <c r="D543" s="3">
        <f>3247113/10^5</f>
        <v>32.471130000000002</v>
      </c>
      <c r="E543" s="3"/>
      <c r="F543" s="3"/>
      <c r="G543" s="3">
        <f>2288811/10^5</f>
        <v>22.888110000000001</v>
      </c>
      <c r="H543" s="3">
        <f>2828849395/10^7</f>
        <v>282.88493949999997</v>
      </c>
      <c r="I543" s="3">
        <f t="shared" si="30"/>
        <v>282.86</v>
      </c>
      <c r="J543" s="3">
        <f>0/10^0</f>
        <v>0</v>
      </c>
      <c r="K543" s="3">
        <f>798673235/10^8</f>
        <v>7.9867323499999996</v>
      </c>
      <c r="L543" s="3">
        <f>131035135/10^8</f>
        <v>1.3103513499999999</v>
      </c>
      <c r="M543" s="3">
        <f>665437564/10^8</f>
        <v>6.6543756399999996</v>
      </c>
      <c r="N543" s="5"/>
    </row>
    <row r="544" spans="1:14" x14ac:dyDescent="0.3">
      <c r="A544" s="7">
        <v>44632.645833333336</v>
      </c>
      <c r="B544" s="7">
        <v>44632.65625</v>
      </c>
      <c r="C544" s="3">
        <f>8338309/10^5</f>
        <v>83.383089999999996</v>
      </c>
      <c r="D544" s="3">
        <f>34193/10^3</f>
        <v>34.192999999999998</v>
      </c>
      <c r="E544" s="3"/>
      <c r="F544" s="3"/>
      <c r="G544" s="3">
        <f>4919009/10^5</f>
        <v>49.190089999999998</v>
      </c>
      <c r="H544" s="3">
        <f>2891195064/10^7</f>
        <v>289.11950639999998</v>
      </c>
      <c r="I544" s="3">
        <f t="shared" si="30"/>
        <v>282.86</v>
      </c>
      <c r="J544" s="3">
        <f>172/10^0</f>
        <v>172</v>
      </c>
      <c r="K544" s="3">
        <f>807563874/10^8</f>
        <v>8.0756387400000005</v>
      </c>
      <c r="L544" s="3">
        <f>139587503/10^8</f>
        <v>1.39587503</v>
      </c>
      <c r="M544" s="3">
        <f>440360046/10^8</f>
        <v>4.4036004599999998</v>
      </c>
      <c r="N544" s="5"/>
    </row>
    <row r="545" spans="1:14" x14ac:dyDescent="0.3">
      <c r="A545" s="7">
        <v>44632.65625</v>
      </c>
      <c r="B545" s="7">
        <v>44632.666666666664</v>
      </c>
      <c r="C545" s="3">
        <f>11368608/10^5</f>
        <v>113.68608</v>
      </c>
      <c r="D545" s="3">
        <f>2939237/10^5</f>
        <v>29.39237</v>
      </c>
      <c r="E545" s="3"/>
      <c r="F545" s="3"/>
      <c r="G545" s="3">
        <f>8429371/10^5</f>
        <v>84.293710000000004</v>
      </c>
      <c r="H545" s="3">
        <f>2834441684/10^7</f>
        <v>283.44416840000002</v>
      </c>
      <c r="I545" s="3">
        <f t="shared" si="30"/>
        <v>282.86</v>
      </c>
      <c r="J545" s="3">
        <f>0/10^0</f>
        <v>0</v>
      </c>
      <c r="K545" s="3">
        <f>802848924/10^8</f>
        <v>8.0284892400000007</v>
      </c>
      <c r="L545" s="3">
        <f>140147677/10^8</f>
        <v>1.4014767699999999</v>
      </c>
      <c r="M545" s="3">
        <f>627576263/10^8</f>
        <v>6.27576263</v>
      </c>
      <c r="N545" s="5"/>
    </row>
    <row r="546" spans="1:14" x14ac:dyDescent="0.3">
      <c r="A546" s="7">
        <v>44632.666666666664</v>
      </c>
      <c r="B546" s="7">
        <v>44632.677083333336</v>
      </c>
      <c r="C546" s="3">
        <f>9047243/10^5</f>
        <v>90.472430000000003</v>
      </c>
      <c r="D546" s="3">
        <f>6539922/10^5</f>
        <v>65.39922</v>
      </c>
      <c r="E546" s="3"/>
      <c r="F546" s="3"/>
      <c r="G546" s="3">
        <f>2507321/10^5</f>
        <v>25.07321</v>
      </c>
      <c r="H546" s="3">
        <f>2919095002/10^7</f>
        <v>291.90950020000002</v>
      </c>
      <c r="I546" s="3">
        <f>29156/10^2</f>
        <v>291.56</v>
      </c>
      <c r="J546" s="3">
        <f>15009/10^2</f>
        <v>150.09</v>
      </c>
      <c r="K546" s="3">
        <f>824477473/10^8</f>
        <v>8.2447747299999996</v>
      </c>
      <c r="L546" s="3">
        <f>117006382/10^8</f>
        <v>1.17006382</v>
      </c>
      <c r="M546" s="3">
        <f>943772692/10^8</f>
        <v>9.4377269199999994</v>
      </c>
      <c r="N546" s="5"/>
    </row>
    <row r="547" spans="1:14" x14ac:dyDescent="0.3">
      <c r="A547" s="7">
        <v>44632.677083333336</v>
      </c>
      <c r="B547" s="7">
        <v>44632.6875</v>
      </c>
      <c r="C547" s="3">
        <f>8988044/10^5</f>
        <v>89.880439999999993</v>
      </c>
      <c r="D547" s="3">
        <f>5982404/10^5</f>
        <v>59.824039999999997</v>
      </c>
      <c r="E547" s="3"/>
      <c r="F547" s="3"/>
      <c r="G547" s="3">
        <f>300564/10^4</f>
        <v>30.0564</v>
      </c>
      <c r="H547" s="3">
        <f>2992494379/10^7</f>
        <v>299.24943789999998</v>
      </c>
      <c r="I547" s="3">
        <f>29376/10^2</f>
        <v>293.76</v>
      </c>
      <c r="J547" s="3">
        <f>167/10^0</f>
        <v>167</v>
      </c>
      <c r="K547" s="3">
        <f>815127196/10^8</f>
        <v>8.1512719600000008</v>
      </c>
      <c r="L547" s="3">
        <f>127042987/10^8</f>
        <v>1.2704298700000001</v>
      </c>
      <c r="M547" s="3">
        <f>431115031/10^8</f>
        <v>4.3111503100000004</v>
      </c>
      <c r="N547" s="5"/>
    </row>
    <row r="548" spans="1:14" x14ac:dyDescent="0.3">
      <c r="A548" s="7">
        <v>44632.6875</v>
      </c>
      <c r="B548" s="7">
        <v>44632.697916666664</v>
      </c>
      <c r="C548" s="3">
        <f>11993567/10^5</f>
        <v>119.93567</v>
      </c>
      <c r="D548" s="3">
        <f>4731622/10^5</f>
        <v>47.316220000000001</v>
      </c>
      <c r="E548" s="3"/>
      <c r="F548" s="3"/>
      <c r="G548" s="3">
        <f>7261945/10^5</f>
        <v>72.619450000000001</v>
      </c>
      <c r="H548" s="3">
        <f>294154091/10^6</f>
        <v>294.15409099999999</v>
      </c>
      <c r="I548" s="3">
        <f>29376/10^2</f>
        <v>293.76</v>
      </c>
      <c r="J548" s="3">
        <f>0/10^0</f>
        <v>0</v>
      </c>
      <c r="K548" s="3">
        <f>827099477/10^8</f>
        <v>8.2709947699999997</v>
      </c>
      <c r="L548" s="3">
        <f>10931993/10^7</f>
        <v>1.0931993</v>
      </c>
      <c r="M548" s="3">
        <f>629009482/10^8</f>
        <v>6.2900948200000002</v>
      </c>
      <c r="N548" s="5"/>
    </row>
    <row r="549" spans="1:14" x14ac:dyDescent="0.3">
      <c r="A549" s="7">
        <v>44632.697916666664</v>
      </c>
      <c r="B549" s="7">
        <v>44632.708333333336</v>
      </c>
      <c r="C549" s="3">
        <f>13978199/10^5</f>
        <v>139.78199000000001</v>
      </c>
      <c r="D549" s="3">
        <f>3741647/10^5</f>
        <v>37.416469999999997</v>
      </c>
      <c r="E549" s="3"/>
      <c r="F549" s="3"/>
      <c r="G549" s="3">
        <f>10236552/10^5</f>
        <v>102.36552</v>
      </c>
      <c r="H549" s="3">
        <f>296010892/10^6</f>
        <v>296.01089200000001</v>
      </c>
      <c r="I549" s="3">
        <f>29547/10^2</f>
        <v>295.47000000000003</v>
      </c>
      <c r="J549" s="3">
        <f>0/10^0</f>
        <v>0</v>
      </c>
      <c r="K549" s="3">
        <f>844861438/10^8</f>
        <v>8.4486143800000004</v>
      </c>
      <c r="L549" s="3">
        <f>107964956/10^8</f>
        <v>1.07964956</v>
      </c>
      <c r="M549" s="3">
        <f>623593859/10^8</f>
        <v>6.2359385899999999</v>
      </c>
      <c r="N549" s="5"/>
    </row>
    <row r="550" spans="1:14" x14ac:dyDescent="0.3">
      <c r="A550" s="7">
        <v>44632.708333333336</v>
      </c>
      <c r="B550" s="7">
        <v>44632.71875</v>
      </c>
      <c r="C550" s="3">
        <f>12055865/10^5</f>
        <v>120.55865</v>
      </c>
      <c r="D550" s="3">
        <f>5070179/10^5</f>
        <v>50.701790000000003</v>
      </c>
      <c r="E550" s="3"/>
      <c r="F550" s="3"/>
      <c r="G550" s="3">
        <f>6985686/10^5</f>
        <v>69.856859999999998</v>
      </c>
      <c r="H550" s="3">
        <f>3351199999/10^7</f>
        <v>335.11999989999998</v>
      </c>
      <c r="I550" s="3">
        <f>33512/10^2</f>
        <v>335.12</v>
      </c>
      <c r="J550" s="3">
        <f>15948/10^2</f>
        <v>159.47999999999999</v>
      </c>
      <c r="K550" s="3">
        <f>1020992683/10^8</f>
        <v>10.209926830000001</v>
      </c>
      <c r="L550" s="3">
        <f>117318083/10^8</f>
        <v>1.17318083</v>
      </c>
      <c r="M550" s="3">
        <f>1929078111/10^8</f>
        <v>19.290781110000001</v>
      </c>
      <c r="N550" s="5"/>
    </row>
    <row r="551" spans="1:14" x14ac:dyDescent="0.3">
      <c r="A551" s="7">
        <v>44632.71875</v>
      </c>
      <c r="B551" s="7">
        <v>44632.729166666664</v>
      </c>
      <c r="C551" s="3">
        <f>972969/10^4</f>
        <v>97.296899999999994</v>
      </c>
      <c r="D551" s="3">
        <f>299345/10^4</f>
        <v>29.9345</v>
      </c>
      <c r="E551" s="3"/>
      <c r="F551" s="3"/>
      <c r="G551" s="3">
        <f>673624/10^4</f>
        <v>67.362399999999994</v>
      </c>
      <c r="H551" s="3">
        <f>3351199999/10^7</f>
        <v>335.11999989999998</v>
      </c>
      <c r="I551" s="3">
        <f>33512/10^2</f>
        <v>335.12</v>
      </c>
      <c r="J551" s="3">
        <f>15948/10^2</f>
        <v>159.47999999999999</v>
      </c>
      <c r="K551" s="3">
        <f>1016348705/10^8</f>
        <v>10.163487050000001</v>
      </c>
      <c r="L551" s="3">
        <f>114581524/10^8</f>
        <v>1.1458152399999999</v>
      </c>
      <c r="M551" s="3">
        <f>378397823/10^8</f>
        <v>3.7839782300000002</v>
      </c>
      <c r="N551" s="5"/>
    </row>
    <row r="552" spans="1:14" x14ac:dyDescent="0.3">
      <c r="A552" s="7">
        <v>44632.729166666664</v>
      </c>
      <c r="B552" s="7">
        <v>44632.739583333336</v>
      </c>
      <c r="C552" s="3">
        <f>14471669/10^5</f>
        <v>144.71669</v>
      </c>
      <c r="D552" s="3">
        <f>3230651/10^5</f>
        <v>32.306510000000003</v>
      </c>
      <c r="E552" s="3"/>
      <c r="F552" s="3"/>
      <c r="G552" s="3">
        <f>11241018/10^5</f>
        <v>112.41018</v>
      </c>
      <c r="H552" s="3">
        <f>3351199999/10^7</f>
        <v>335.11999989999998</v>
      </c>
      <c r="I552" s="3">
        <f>33512/10^2</f>
        <v>335.12</v>
      </c>
      <c r="J552" s="3">
        <f>15948/10^2</f>
        <v>159.47999999999999</v>
      </c>
      <c r="K552" s="3">
        <f>987382909/10^8</f>
        <v>9.8738290899999992</v>
      </c>
      <c r="L552" s="3">
        <f>13381074/10^7</f>
        <v>1.3381073999999999</v>
      </c>
      <c r="M552" s="3">
        <f>324748415/10^8</f>
        <v>3.24748415</v>
      </c>
      <c r="N552" s="5"/>
    </row>
    <row r="553" spans="1:14" x14ac:dyDescent="0.3">
      <c r="A553" s="7">
        <v>44632.739583333336</v>
      </c>
      <c r="B553" s="7">
        <v>44632.75</v>
      </c>
      <c r="C553" s="3">
        <f>16337943/10^5</f>
        <v>163.37943000000001</v>
      </c>
      <c r="D553" s="3">
        <f>2893499/10^5</f>
        <v>28.934989999999999</v>
      </c>
      <c r="E553" s="3"/>
      <c r="F553" s="3"/>
      <c r="G553" s="3">
        <f>13444444/10^5</f>
        <v>134.44443999999999</v>
      </c>
      <c r="H553" s="3">
        <f>3352990797/10^7</f>
        <v>335.29907969999999</v>
      </c>
      <c r="I553" s="3">
        <f>33512/10^2</f>
        <v>335.12</v>
      </c>
      <c r="J553" s="3">
        <f>15948/10^2</f>
        <v>159.47999999999999</v>
      </c>
      <c r="K553" s="3">
        <f>987364666/10^8</f>
        <v>9.8736466600000004</v>
      </c>
      <c r="L553" s="3">
        <f>131228329/10^8</f>
        <v>1.3122832900000001</v>
      </c>
      <c r="M553" s="3">
        <f>258653675/10^8</f>
        <v>2.5865367500000001</v>
      </c>
      <c r="N553" s="5"/>
    </row>
    <row r="554" spans="1:14" x14ac:dyDescent="0.3">
      <c r="A554" s="7">
        <v>44632.75</v>
      </c>
      <c r="B554" s="7">
        <v>44632.760416666664</v>
      </c>
      <c r="C554" s="3">
        <f>12922425/10^5</f>
        <v>129.22425000000001</v>
      </c>
      <c r="D554" s="3">
        <f>210937/10^4</f>
        <v>21.093699999999998</v>
      </c>
      <c r="E554" s="3"/>
      <c r="F554" s="3"/>
      <c r="G554" s="3">
        <f>10813055/10^5</f>
        <v>108.13055</v>
      </c>
      <c r="H554" s="3">
        <f>3892266904/10^7</f>
        <v>389.2266904</v>
      </c>
      <c r="I554" s="3">
        <f>3877/10^1</f>
        <v>387.7</v>
      </c>
      <c r="J554" s="3">
        <f>14659/10^2</f>
        <v>146.59</v>
      </c>
      <c r="K554" s="3">
        <f>1206969101/10^8</f>
        <v>12.06969101</v>
      </c>
      <c r="L554" s="3">
        <f>164685105/10^8</f>
        <v>1.64685105</v>
      </c>
      <c r="M554" s="3">
        <f>1540359228/10^8</f>
        <v>15.40359228</v>
      </c>
      <c r="N554" s="5"/>
    </row>
    <row r="555" spans="1:14" x14ac:dyDescent="0.3">
      <c r="A555" s="7">
        <v>44632.760416666664</v>
      </c>
      <c r="B555" s="7">
        <v>44632.770833333336</v>
      </c>
      <c r="C555" s="3">
        <f>1459705/10^4</f>
        <v>145.97049999999999</v>
      </c>
      <c r="D555" s="3">
        <f>1942777/10^5</f>
        <v>19.427769999999999</v>
      </c>
      <c r="E555" s="3"/>
      <c r="F555" s="3"/>
      <c r="G555" s="3">
        <f>12654273/10^5</f>
        <v>126.54273000000001</v>
      </c>
      <c r="H555" s="3">
        <f>3881057233/10^7</f>
        <v>388.10572330000002</v>
      </c>
      <c r="I555" s="3">
        <f>3877/10^1</f>
        <v>387.7</v>
      </c>
      <c r="J555" s="3">
        <f>14659/10^2</f>
        <v>146.59</v>
      </c>
      <c r="K555" s="3">
        <f>1222996608/10^8</f>
        <v>12.229966080000001</v>
      </c>
      <c r="L555" s="3">
        <f>163412188/10^8</f>
        <v>1.6341218799999999</v>
      </c>
      <c r="M555" s="3">
        <f>364071297/10^8</f>
        <v>3.64071297</v>
      </c>
      <c r="N555" s="5"/>
    </row>
    <row r="556" spans="1:14" x14ac:dyDescent="0.3">
      <c r="A556" s="7">
        <v>44632.770833333336</v>
      </c>
      <c r="B556" s="7">
        <v>44632.78125</v>
      </c>
      <c r="C556" s="3">
        <f>13108127/10^5</f>
        <v>131.08126999999999</v>
      </c>
      <c r="D556" s="3">
        <f>2005012/10^5</f>
        <v>20.05012</v>
      </c>
      <c r="E556" s="3"/>
      <c r="F556" s="3"/>
      <c r="G556" s="3">
        <f>11103115/10^5</f>
        <v>111.03115</v>
      </c>
      <c r="H556" s="3">
        <f>3877901709/10^7</f>
        <v>387.79017090000002</v>
      </c>
      <c r="I556" s="3">
        <f>3877/10^1</f>
        <v>387.7</v>
      </c>
      <c r="J556" s="3">
        <f t="shared" ref="J556:J577" si="31">15948/10^2</f>
        <v>159.47999999999999</v>
      </c>
      <c r="K556" s="3">
        <f>119161221/10^7</f>
        <v>11.916122100000001</v>
      </c>
      <c r="L556" s="3">
        <f>160671812/10^8</f>
        <v>1.60671812</v>
      </c>
      <c r="M556" s="3">
        <f>311796119/10^8</f>
        <v>3.1179611899999999</v>
      </c>
      <c r="N556" s="5"/>
    </row>
    <row r="557" spans="1:14" x14ac:dyDescent="0.3">
      <c r="A557" s="7">
        <v>44632.78125</v>
      </c>
      <c r="B557" s="7">
        <v>44632.791666666664</v>
      </c>
      <c r="C557" s="3">
        <f>11030344/10^5</f>
        <v>110.30343999999999</v>
      </c>
      <c r="D557" s="3">
        <f>172608/10^4</f>
        <v>17.2608</v>
      </c>
      <c r="E557" s="3"/>
      <c r="F557" s="3"/>
      <c r="G557" s="3">
        <f>9304264/10^5</f>
        <v>93.042640000000006</v>
      </c>
      <c r="H557" s="3">
        <f>3884816304/10^7</f>
        <v>388.48163039999997</v>
      </c>
      <c r="I557" s="3">
        <f>3877/10^1</f>
        <v>387.7</v>
      </c>
      <c r="J557" s="3">
        <f t="shared" si="31"/>
        <v>159.47999999999999</v>
      </c>
      <c r="K557" s="3">
        <f>1192730605/10^8</f>
        <v>11.92730605</v>
      </c>
      <c r="L557" s="3">
        <f>162905217/10^8</f>
        <v>1.62905217</v>
      </c>
      <c r="M557" s="3">
        <f>382984139/10^8</f>
        <v>3.8298413899999999</v>
      </c>
      <c r="N557" s="5"/>
    </row>
    <row r="558" spans="1:14" x14ac:dyDescent="0.3">
      <c r="A558" s="7">
        <v>44632.791666666664</v>
      </c>
      <c r="B558" s="7">
        <v>44632.802083333336</v>
      </c>
      <c r="C558" s="3">
        <f>2089691/10^4</f>
        <v>208.9691</v>
      </c>
      <c r="D558" s="3">
        <f>1624197/10^5</f>
        <v>16.241969999999998</v>
      </c>
      <c r="E558" s="3"/>
      <c r="F558" s="3"/>
      <c r="G558" s="3">
        <f>19272713/10^5</f>
        <v>192.72712999999999</v>
      </c>
      <c r="H558" s="3">
        <f>3937761234/10^7</f>
        <v>393.77612340000002</v>
      </c>
      <c r="I558" s="3">
        <f>39336/10^2</f>
        <v>393.36</v>
      </c>
      <c r="J558" s="3">
        <f t="shared" si="31"/>
        <v>159.47999999999999</v>
      </c>
      <c r="K558" s="3">
        <f>1133813182/10^8</f>
        <v>11.338131819999999</v>
      </c>
      <c r="L558" s="3">
        <f>211974274/10^8</f>
        <v>2.11974274</v>
      </c>
      <c r="M558" s="3">
        <f>122903/10^8</f>
        <v>1.2290300000000001E-3</v>
      </c>
      <c r="N558" s="5"/>
    </row>
    <row r="559" spans="1:14" x14ac:dyDescent="0.3">
      <c r="A559" s="7">
        <v>44632.802083333336</v>
      </c>
      <c r="B559" s="7">
        <v>44632.8125</v>
      </c>
      <c r="C559" s="3">
        <f>19898694/10^5</f>
        <v>198.98694</v>
      </c>
      <c r="D559" s="3">
        <f>2397104/10^5</f>
        <v>23.971039999999999</v>
      </c>
      <c r="E559" s="3"/>
      <c r="F559" s="3"/>
      <c r="G559" s="3">
        <f>1750159/10^4</f>
        <v>175.01589999999999</v>
      </c>
      <c r="H559" s="3">
        <f>3934292707/10^7</f>
        <v>393.42927070000002</v>
      </c>
      <c r="I559" s="3">
        <f>39336/10^2</f>
        <v>393.36</v>
      </c>
      <c r="J559" s="3">
        <f t="shared" si="31"/>
        <v>159.47999999999999</v>
      </c>
      <c r="K559" s="3">
        <f>1130696548/10^8</f>
        <v>11.306965480000001</v>
      </c>
      <c r="L559" s="3">
        <f>216536664/10^8</f>
        <v>2.1653666399999998</v>
      </c>
      <c r="M559" s="3">
        <f>244756015/10^8</f>
        <v>2.4475601500000002</v>
      </c>
      <c r="N559" s="5"/>
    </row>
    <row r="560" spans="1:14" x14ac:dyDescent="0.3">
      <c r="A560" s="7">
        <v>44632.8125</v>
      </c>
      <c r="B560" s="7">
        <v>44632.822916666664</v>
      </c>
      <c r="C560" s="3">
        <f>16855464/10^5</f>
        <v>168.55464000000001</v>
      </c>
      <c r="D560" s="3">
        <f>3475229/10^5</f>
        <v>34.752290000000002</v>
      </c>
      <c r="E560" s="3"/>
      <c r="F560" s="3"/>
      <c r="G560" s="3">
        <f>13380235/10^5</f>
        <v>133.80234999999999</v>
      </c>
      <c r="H560" s="3">
        <f>3717206633/10^7</f>
        <v>371.72066330000001</v>
      </c>
      <c r="I560" s="3">
        <f>37163/10^2</f>
        <v>371.63</v>
      </c>
      <c r="J560" s="3">
        <f t="shared" si="31"/>
        <v>159.47999999999999</v>
      </c>
      <c r="K560" s="3">
        <f>1094873875/10^8</f>
        <v>10.94873875</v>
      </c>
      <c r="L560" s="3">
        <f>238201253/10^8</f>
        <v>2.3820125299999999</v>
      </c>
      <c r="M560" s="3">
        <f>342390631/10^8</f>
        <v>3.42390631</v>
      </c>
      <c r="N560" s="5"/>
    </row>
    <row r="561" spans="1:14" x14ac:dyDescent="0.3">
      <c r="A561" s="7">
        <v>44632.822916666664</v>
      </c>
      <c r="B561" s="7">
        <v>44632.833333333336</v>
      </c>
      <c r="C561" s="3">
        <f>16958863/10^5</f>
        <v>169.58862999999999</v>
      </c>
      <c r="D561" s="3">
        <f>324126/10^4</f>
        <v>32.412599999999998</v>
      </c>
      <c r="E561" s="3"/>
      <c r="F561" s="3"/>
      <c r="G561" s="3">
        <f>13717603/10^5</f>
        <v>137.17603</v>
      </c>
      <c r="H561" s="3">
        <f>3720516871/10^7</f>
        <v>372.05168709999998</v>
      </c>
      <c r="I561" s="3">
        <f>37163/10^2</f>
        <v>371.63</v>
      </c>
      <c r="J561" s="3">
        <f t="shared" si="31"/>
        <v>159.47999999999999</v>
      </c>
      <c r="K561" s="3">
        <f>1086249112/10^8</f>
        <v>10.86249112</v>
      </c>
      <c r="L561" s="3">
        <f>240233686/10^8</f>
        <v>2.4023368600000001</v>
      </c>
      <c r="M561" s="3">
        <f>357294655/10^8</f>
        <v>3.5729465500000002</v>
      </c>
      <c r="N561" s="5"/>
    </row>
    <row r="562" spans="1:14" x14ac:dyDescent="0.3">
      <c r="A562" s="7">
        <v>44632.833333333336</v>
      </c>
      <c r="B562" s="7">
        <v>44632.84375</v>
      </c>
      <c r="C562" s="3">
        <f>25349347/10^5</f>
        <v>253.49347</v>
      </c>
      <c r="D562" s="3">
        <f>385241/10^4</f>
        <v>38.524099999999997</v>
      </c>
      <c r="E562" s="3"/>
      <c r="F562" s="3"/>
      <c r="G562" s="3">
        <f>21496937/10^5</f>
        <v>214.96937</v>
      </c>
      <c r="H562" s="3">
        <f>3478999999/10^7</f>
        <v>347.89999990000001</v>
      </c>
      <c r="I562" s="3">
        <f>3479/10^1</f>
        <v>347.9</v>
      </c>
      <c r="J562" s="3">
        <f t="shared" si="31"/>
        <v>159.47999999999999</v>
      </c>
      <c r="K562" s="3">
        <f>948592405/10^8</f>
        <v>9.4859240499999995</v>
      </c>
      <c r="L562" s="3">
        <f>192706065/10^8</f>
        <v>1.92706065</v>
      </c>
      <c r="M562" s="3">
        <f>344656757/10^8</f>
        <v>3.44656757</v>
      </c>
      <c r="N562" s="5"/>
    </row>
    <row r="563" spans="1:14" x14ac:dyDescent="0.3">
      <c r="A563" s="7">
        <v>44632.84375</v>
      </c>
      <c r="B563" s="7">
        <v>44632.854166666664</v>
      </c>
      <c r="C563" s="3">
        <f>22205844/10^5</f>
        <v>222.05843999999999</v>
      </c>
      <c r="D563" s="3">
        <f>4770072/10^5</f>
        <v>47.700719999999997</v>
      </c>
      <c r="E563" s="3"/>
      <c r="F563" s="3"/>
      <c r="G563" s="3">
        <f>17435772/10^5</f>
        <v>174.35772</v>
      </c>
      <c r="H563" s="3">
        <f>3478999999/10^7</f>
        <v>347.89999990000001</v>
      </c>
      <c r="I563" s="3">
        <f>3479/10^1</f>
        <v>347.9</v>
      </c>
      <c r="J563" s="3">
        <f t="shared" si="31"/>
        <v>159.47999999999999</v>
      </c>
      <c r="K563" s="3">
        <f>932705272/10^8</f>
        <v>9.3270527199999993</v>
      </c>
      <c r="L563" s="3">
        <f>197682155/10^8</f>
        <v>1.9768215499999999</v>
      </c>
      <c r="M563" s="3">
        <f>555038174/10^8</f>
        <v>5.5503817399999997</v>
      </c>
      <c r="N563" s="5"/>
    </row>
    <row r="564" spans="1:14" x14ac:dyDescent="0.3">
      <c r="A564" s="7">
        <v>44632.854166666664</v>
      </c>
      <c r="B564" s="7">
        <v>44632.864583333336</v>
      </c>
      <c r="C564" s="3">
        <f>20290541/10^5</f>
        <v>202.90540999999999</v>
      </c>
      <c r="D564" s="3">
        <f>4787484/10^5</f>
        <v>47.874839999999999</v>
      </c>
      <c r="E564" s="3"/>
      <c r="F564" s="3"/>
      <c r="G564" s="3">
        <f>15503057/10^5</f>
        <v>155.03057000000001</v>
      </c>
      <c r="H564" s="3">
        <f>3478999999/10^7</f>
        <v>347.89999990000001</v>
      </c>
      <c r="I564" s="3">
        <f>3479/10^1</f>
        <v>347.9</v>
      </c>
      <c r="J564" s="3">
        <f t="shared" si="31"/>
        <v>159.47999999999999</v>
      </c>
      <c r="K564" s="3">
        <f>942710033/10^8</f>
        <v>9.42710033</v>
      </c>
      <c r="L564" s="3">
        <f>199335983/10^8</f>
        <v>1.9933598299999999</v>
      </c>
      <c r="M564" s="3">
        <f>468362617/10^8</f>
        <v>4.6836261700000001</v>
      </c>
      <c r="N564" s="5"/>
    </row>
    <row r="565" spans="1:14" x14ac:dyDescent="0.3">
      <c r="A565" s="7">
        <v>44632.864583333336</v>
      </c>
      <c r="B565" s="7">
        <v>44632.875</v>
      </c>
      <c r="C565" s="3">
        <f>18723402/10^5</f>
        <v>187.23401999999999</v>
      </c>
      <c r="D565" s="3">
        <f>4826042/10^5</f>
        <v>48.260420000000003</v>
      </c>
      <c r="E565" s="3"/>
      <c r="F565" s="3"/>
      <c r="G565" s="3">
        <f>1389736/10^4</f>
        <v>138.9736</v>
      </c>
      <c r="H565" s="3">
        <f>3479012098/10^7</f>
        <v>347.9012098</v>
      </c>
      <c r="I565" s="3">
        <f>3479/10^1</f>
        <v>347.9</v>
      </c>
      <c r="J565" s="3">
        <f t="shared" si="31"/>
        <v>159.47999999999999</v>
      </c>
      <c r="K565" s="3">
        <f>947539554/10^8</f>
        <v>9.4753955399999992</v>
      </c>
      <c r="L565" s="3">
        <f>200459486/10^8</f>
        <v>2.0045948600000001</v>
      </c>
      <c r="M565" s="3">
        <f>605897967/10^8</f>
        <v>6.0589796700000003</v>
      </c>
      <c r="N565" s="5"/>
    </row>
    <row r="566" spans="1:14" x14ac:dyDescent="0.3">
      <c r="A566" s="7">
        <v>44632.875</v>
      </c>
      <c r="B566" s="7">
        <v>44632.885416666664</v>
      </c>
      <c r="C566" s="3">
        <f>22281217/10^5</f>
        <v>222.81217000000001</v>
      </c>
      <c r="D566" s="3">
        <f>8618823/10^5</f>
        <v>86.188230000000004</v>
      </c>
      <c r="E566" s="3"/>
      <c r="F566" s="3"/>
      <c r="G566" s="3">
        <f>13662394/10^5</f>
        <v>136.62394</v>
      </c>
      <c r="H566" s="3">
        <f>3038729457/10^7</f>
        <v>303.8729457</v>
      </c>
      <c r="I566" s="3">
        <f>30347/10^2</f>
        <v>303.47000000000003</v>
      </c>
      <c r="J566" s="3">
        <f t="shared" si="31"/>
        <v>159.47999999999999</v>
      </c>
      <c r="K566" s="3">
        <f>85678242/10^7</f>
        <v>8.5678242000000004</v>
      </c>
      <c r="L566" s="3">
        <f>292869327/10^8</f>
        <v>2.9286932700000001</v>
      </c>
      <c r="M566" s="3">
        <f>95362427/10^8</f>
        <v>0.95362427000000005</v>
      </c>
      <c r="N566" s="5"/>
    </row>
    <row r="567" spans="1:14" x14ac:dyDescent="0.3">
      <c r="A567" s="7">
        <v>44632.885416666664</v>
      </c>
      <c r="B567" s="7">
        <v>44632.895833333336</v>
      </c>
      <c r="C567" s="3">
        <f>22734118/10^5</f>
        <v>227.34118000000001</v>
      </c>
      <c r="D567" s="3">
        <f>8774085/10^5</f>
        <v>87.740849999999995</v>
      </c>
      <c r="E567" s="3"/>
      <c r="F567" s="3"/>
      <c r="G567" s="3">
        <f>13960033/10^5</f>
        <v>139.60033000000001</v>
      </c>
      <c r="H567" s="3">
        <f>3034983037/10^7</f>
        <v>303.49830370000001</v>
      </c>
      <c r="I567" s="3">
        <f>30347/10^2</f>
        <v>303.47000000000003</v>
      </c>
      <c r="J567" s="3">
        <f t="shared" si="31"/>
        <v>159.47999999999999</v>
      </c>
      <c r="K567" s="3">
        <f>869282961/10^8</f>
        <v>8.6928296100000004</v>
      </c>
      <c r="L567" s="3">
        <f>303417282/10^8</f>
        <v>3.0341728200000002</v>
      </c>
      <c r="M567" s="3">
        <f>82960981/10^7</f>
        <v>8.2960981</v>
      </c>
      <c r="N567" s="5"/>
    </row>
    <row r="568" spans="1:14" x14ac:dyDescent="0.3">
      <c r="A568" s="7">
        <v>44632.895833333336</v>
      </c>
      <c r="B568" s="7">
        <v>44632.90625</v>
      </c>
      <c r="C568" s="3">
        <f>20900061/10^5</f>
        <v>209.00060999999999</v>
      </c>
      <c r="D568" s="3">
        <f>8843691/10^5</f>
        <v>88.436909999999997</v>
      </c>
      <c r="E568" s="3"/>
      <c r="F568" s="3"/>
      <c r="G568" s="3">
        <f>1205637/10^4</f>
        <v>120.5637</v>
      </c>
      <c r="H568" s="3">
        <f>3035236535/10^7</f>
        <v>303.52365350000002</v>
      </c>
      <c r="I568" s="3">
        <f>30347/10^2</f>
        <v>303.47000000000003</v>
      </c>
      <c r="J568" s="3">
        <f t="shared" si="31"/>
        <v>159.47999999999999</v>
      </c>
      <c r="K568" s="3">
        <f>845149718/10^8</f>
        <v>8.4514971800000005</v>
      </c>
      <c r="L568" s="3">
        <f>301869092/10^8</f>
        <v>3.0186909200000001</v>
      </c>
      <c r="M568" s="3">
        <f>761343636/10^8</f>
        <v>7.6134363599999997</v>
      </c>
      <c r="N568" s="5"/>
    </row>
    <row r="569" spans="1:14" x14ac:dyDescent="0.3">
      <c r="A569" s="7">
        <v>44632.90625</v>
      </c>
      <c r="B569" s="7">
        <v>44632.916666666664</v>
      </c>
      <c r="C569" s="3">
        <f>19240188/10^5</f>
        <v>192.40188000000001</v>
      </c>
      <c r="D569" s="3">
        <f>1008449/10^4</f>
        <v>100.8449</v>
      </c>
      <c r="E569" s="3"/>
      <c r="F569" s="3"/>
      <c r="G569" s="3">
        <f>9155698/10^5</f>
        <v>91.556979999999996</v>
      </c>
      <c r="H569" s="3">
        <f>3034993121/10^7</f>
        <v>303.4993121</v>
      </c>
      <c r="I569" s="3">
        <f>30347/10^2</f>
        <v>303.47000000000003</v>
      </c>
      <c r="J569" s="3">
        <f t="shared" si="31"/>
        <v>159.47999999999999</v>
      </c>
      <c r="K569" s="3">
        <f>855212516/10^8</f>
        <v>8.5521251599999992</v>
      </c>
      <c r="L569" s="3">
        <f>292255788/10^8</f>
        <v>2.9225578799999998</v>
      </c>
      <c r="M569" s="3">
        <f>743249245/10^8</f>
        <v>7.4324924499999998</v>
      </c>
      <c r="N569" s="5"/>
    </row>
    <row r="570" spans="1:14" x14ac:dyDescent="0.3">
      <c r="A570" s="7">
        <v>44632.916666666664</v>
      </c>
      <c r="B570" s="7">
        <v>44632.927083333336</v>
      </c>
      <c r="C570" s="3">
        <f>17946053/10^5</f>
        <v>179.46053000000001</v>
      </c>
      <c r="D570" s="3">
        <f>6308112/10^5</f>
        <v>63.081119999999999</v>
      </c>
      <c r="E570" s="3"/>
      <c r="F570" s="3"/>
      <c r="G570" s="3">
        <f>11637941/10^5</f>
        <v>116.37940999999999</v>
      </c>
      <c r="H570" s="3">
        <f>2928019522/10^7</f>
        <v>292.80195220000002</v>
      </c>
      <c r="I570" s="3">
        <f>29267/10^2</f>
        <v>292.67</v>
      </c>
      <c r="J570" s="3">
        <f t="shared" si="31"/>
        <v>159.47999999999999</v>
      </c>
      <c r="K570" s="3">
        <f>764915935/10^8</f>
        <v>7.6491593499999997</v>
      </c>
      <c r="L570" s="3">
        <f>219835452/10^8</f>
        <v>2.1983545200000001</v>
      </c>
      <c r="M570" s="3">
        <f>-360216699/10^8</f>
        <v>-3.6021669900000002</v>
      </c>
      <c r="N570" s="5"/>
    </row>
    <row r="571" spans="1:14" x14ac:dyDescent="0.3">
      <c r="A571" s="7">
        <v>44632.927083333336</v>
      </c>
      <c r="B571" s="7">
        <v>44632.9375</v>
      </c>
      <c r="C571" s="3">
        <f>22163014/10^5</f>
        <v>221.63014000000001</v>
      </c>
      <c r="D571" s="3">
        <f>5881006/10^5</f>
        <v>58.81006</v>
      </c>
      <c r="E571" s="3"/>
      <c r="F571" s="3"/>
      <c r="G571" s="3">
        <f>16282008/10^5</f>
        <v>162.82007999999999</v>
      </c>
      <c r="H571" s="3">
        <f>2926699999/10^7</f>
        <v>292.66999989999999</v>
      </c>
      <c r="I571" s="3">
        <f>29267/10^2</f>
        <v>292.67</v>
      </c>
      <c r="J571" s="3">
        <f t="shared" si="31"/>
        <v>159.47999999999999</v>
      </c>
      <c r="K571" s="3">
        <f>796910357/10^8</f>
        <v>7.9691035699999997</v>
      </c>
      <c r="L571" s="3">
        <f>223941243/10^8</f>
        <v>2.2394124299999998</v>
      </c>
      <c r="M571" s="3">
        <f>527176254/10^8</f>
        <v>5.2717625400000001</v>
      </c>
      <c r="N571" s="5"/>
    </row>
    <row r="572" spans="1:14" x14ac:dyDescent="0.3">
      <c r="A572" s="7">
        <v>44632.9375</v>
      </c>
      <c r="B572" s="7">
        <v>44632.947916666664</v>
      </c>
      <c r="C572" s="3">
        <f>2314757/10^4</f>
        <v>231.47569999999999</v>
      </c>
      <c r="D572" s="3">
        <f>7028864/10^5</f>
        <v>70.288640000000001</v>
      </c>
      <c r="E572" s="3"/>
      <c r="F572" s="3"/>
      <c r="G572" s="3">
        <f>16118706/10^5</f>
        <v>161.18706</v>
      </c>
      <c r="H572" s="3">
        <f>2926699999/10^7</f>
        <v>292.66999989999999</v>
      </c>
      <c r="I572" s="3">
        <f>29267/10^2</f>
        <v>292.67</v>
      </c>
      <c r="J572" s="3">
        <f t="shared" si="31"/>
        <v>159.47999999999999</v>
      </c>
      <c r="K572" s="3">
        <f>790497723/10^8</f>
        <v>7.9049772300000001</v>
      </c>
      <c r="L572" s="3">
        <f>214055027/10^8</f>
        <v>2.1405502699999999</v>
      </c>
      <c r="M572" s="3">
        <f>649142953/10^8</f>
        <v>6.4914295299999996</v>
      </c>
      <c r="N572" s="5"/>
    </row>
    <row r="573" spans="1:14" x14ac:dyDescent="0.3">
      <c r="A573" s="7">
        <v>44632.947916666664</v>
      </c>
      <c r="B573" s="7">
        <v>44632.958333333336</v>
      </c>
      <c r="C573" s="3">
        <f>23200967/10^5</f>
        <v>232.00967</v>
      </c>
      <c r="D573" s="3">
        <f>7804436/10^5</f>
        <v>78.044359999999998</v>
      </c>
      <c r="E573" s="3"/>
      <c r="F573" s="3"/>
      <c r="G573" s="3">
        <f>15396531/10^5</f>
        <v>153.96530999999999</v>
      </c>
      <c r="H573" s="3">
        <f>2926716616/10^7</f>
        <v>292.67166159999999</v>
      </c>
      <c r="I573" s="3">
        <f>29267/10^2</f>
        <v>292.67</v>
      </c>
      <c r="J573" s="3">
        <f t="shared" si="31"/>
        <v>159.47999999999999</v>
      </c>
      <c r="K573" s="3">
        <f>778805934/10^8</f>
        <v>7.7880593400000002</v>
      </c>
      <c r="L573" s="3">
        <f>215198645/10^8</f>
        <v>2.1519864499999999</v>
      </c>
      <c r="M573" s="3">
        <f>761277897/10^8</f>
        <v>7.6127789699999999</v>
      </c>
      <c r="N573" s="5"/>
    </row>
    <row r="574" spans="1:14" x14ac:dyDescent="0.3">
      <c r="A574" s="7">
        <v>44632.958333333336</v>
      </c>
      <c r="B574" s="7">
        <v>44632.96875</v>
      </c>
      <c r="C574" s="3">
        <f>32067692/10^5</f>
        <v>320.67692</v>
      </c>
      <c r="D574" s="3">
        <f>9211027/10^5</f>
        <v>92.11027</v>
      </c>
      <c r="E574" s="3"/>
      <c r="F574" s="3"/>
      <c r="G574" s="3">
        <f>22856665/10^5</f>
        <v>228.56665000000001</v>
      </c>
      <c r="H574" s="3">
        <f>3489999997/10^7</f>
        <v>348.99999969999999</v>
      </c>
      <c r="I574" s="3">
        <f>349/10^0</f>
        <v>349</v>
      </c>
      <c r="J574" s="3">
        <f t="shared" si="31"/>
        <v>159.47999999999999</v>
      </c>
      <c r="K574" s="3">
        <f>771591835/10^8</f>
        <v>7.7159183499999999</v>
      </c>
      <c r="L574" s="3">
        <f>203172201/10^8</f>
        <v>2.0317220100000002</v>
      </c>
      <c r="M574" s="3">
        <f>1201274836/10^8</f>
        <v>12.01274836</v>
      </c>
      <c r="N574" s="5"/>
    </row>
    <row r="575" spans="1:14" x14ac:dyDescent="0.3">
      <c r="A575" s="7">
        <v>44632.96875</v>
      </c>
      <c r="B575" s="7">
        <v>44632.979166666664</v>
      </c>
      <c r="C575" s="3">
        <f>25146752/10^5</f>
        <v>251.46752000000001</v>
      </c>
      <c r="D575" s="3">
        <f>7389307/10^5</f>
        <v>73.893069999999994</v>
      </c>
      <c r="E575" s="3"/>
      <c r="F575" s="3"/>
      <c r="G575" s="3">
        <f>17757445/10^5</f>
        <v>177.57445000000001</v>
      </c>
      <c r="H575" s="3">
        <f>349/10^0</f>
        <v>349</v>
      </c>
      <c r="I575" s="3">
        <f>349/10^0</f>
        <v>349</v>
      </c>
      <c r="J575" s="3">
        <f t="shared" si="31"/>
        <v>159.47999999999999</v>
      </c>
      <c r="K575" s="3">
        <f>757274381/10^8</f>
        <v>7.5727438100000004</v>
      </c>
      <c r="L575" s="3">
        <f>207976921/10^8</f>
        <v>2.0797692099999998</v>
      </c>
      <c r="M575" s="3">
        <f>746788893/10^8</f>
        <v>7.46788893</v>
      </c>
      <c r="N575" s="5"/>
    </row>
    <row r="576" spans="1:14" x14ac:dyDescent="0.3">
      <c r="A576" s="7">
        <v>44632.979166666664</v>
      </c>
      <c r="B576" s="7">
        <v>44632.989583333336</v>
      </c>
      <c r="C576" s="3">
        <f>24335699/10^5</f>
        <v>243.35699</v>
      </c>
      <c r="D576" s="3">
        <f>7943359/10^5</f>
        <v>79.433589999999995</v>
      </c>
      <c r="E576" s="3"/>
      <c r="F576" s="3"/>
      <c r="G576" s="3">
        <f>1639234/10^4</f>
        <v>163.92339999999999</v>
      </c>
      <c r="H576" s="3">
        <f>2943310994/10^7</f>
        <v>294.33109940000003</v>
      </c>
      <c r="I576" s="3">
        <f>29424/10^2</f>
        <v>294.24</v>
      </c>
      <c r="J576" s="3">
        <f t="shared" si="31"/>
        <v>159.47999999999999</v>
      </c>
      <c r="K576" s="3">
        <f>738584408/10^8</f>
        <v>7.38584408</v>
      </c>
      <c r="L576" s="3">
        <f>203349264/10^8</f>
        <v>2.03349264</v>
      </c>
      <c r="M576" s="3">
        <f>691125805/10^8</f>
        <v>6.9112580499999998</v>
      </c>
      <c r="N576" s="5"/>
    </row>
    <row r="577" spans="1:14" x14ac:dyDescent="0.3">
      <c r="A577" s="7">
        <v>44632.989583333336</v>
      </c>
      <c r="B577" s="7">
        <v>44633</v>
      </c>
      <c r="C577" s="3">
        <f>22798935/10^5</f>
        <v>227.98935</v>
      </c>
      <c r="D577" s="3">
        <f>9798958/10^5</f>
        <v>97.989580000000004</v>
      </c>
      <c r="E577" s="3"/>
      <c r="F577" s="3"/>
      <c r="G577" s="3">
        <f>12999977/10^5</f>
        <v>129.99977000000001</v>
      </c>
      <c r="H577" s="3">
        <f>2942301841/10^7</f>
        <v>294.23018409999997</v>
      </c>
      <c r="I577" s="3">
        <f>29423/10^2</f>
        <v>294.23</v>
      </c>
      <c r="J577" s="3">
        <f t="shared" si="31"/>
        <v>159.47999999999999</v>
      </c>
      <c r="K577" s="3">
        <f>760467173/10^8</f>
        <v>7.6046717299999997</v>
      </c>
      <c r="L577" s="3">
        <f>208276086/10^8</f>
        <v>2.08276086</v>
      </c>
      <c r="M577" s="3">
        <f>1162452053/10^8</f>
        <v>11.62452053</v>
      </c>
      <c r="N577" s="5"/>
    </row>
    <row r="578" spans="1:14" x14ac:dyDescent="0.3">
      <c r="A578" s="7">
        <v>44633</v>
      </c>
      <c r="B578" s="7">
        <v>44633.010416666664</v>
      </c>
      <c r="C578" s="3">
        <f>6378793/10^5</f>
        <v>63.787930000000003</v>
      </c>
      <c r="D578" s="3">
        <f>8966469/10^5</f>
        <v>89.664689999999993</v>
      </c>
      <c r="E578" s="3"/>
      <c r="F578" s="3"/>
      <c r="G578" s="3">
        <f>-2587676/10^5</f>
        <v>-25.876760000000001</v>
      </c>
      <c r="H578" s="3">
        <f>1592199999/10^7</f>
        <v>159.2199999</v>
      </c>
      <c r="I578" s="3">
        <f>2703/10^1</f>
        <v>270.3</v>
      </c>
      <c r="J578" s="3">
        <f t="shared" ref="J578:J599" si="32">15922/10^2</f>
        <v>159.22</v>
      </c>
      <c r="K578" s="3">
        <f>816543746/10^8</f>
        <v>8.1654374599999997</v>
      </c>
      <c r="L578" s="3">
        <f>50965948/10^8</f>
        <v>0.50965948000000005</v>
      </c>
      <c r="M578" s="3">
        <f>7499161/10^8</f>
        <v>7.499161E-2</v>
      </c>
      <c r="N578" s="5"/>
    </row>
    <row r="579" spans="1:14" x14ac:dyDescent="0.3">
      <c r="A579" s="7">
        <v>44633.010416666664</v>
      </c>
      <c r="B579" s="7">
        <v>44633.020833333336</v>
      </c>
      <c r="C579" s="3">
        <f>12311394/10^5</f>
        <v>123.11394</v>
      </c>
      <c r="D579" s="3">
        <f>5707093/10^5</f>
        <v>57.070929999999997</v>
      </c>
      <c r="E579" s="3"/>
      <c r="F579" s="3"/>
      <c r="G579" s="3">
        <f>6604301/10^5</f>
        <v>66.043009999999995</v>
      </c>
      <c r="H579" s="3">
        <f t="shared" ref="H579:I581" si="33">349/10^0</f>
        <v>349</v>
      </c>
      <c r="I579" s="3">
        <f t="shared" si="33"/>
        <v>349</v>
      </c>
      <c r="J579" s="3">
        <f t="shared" si="32"/>
        <v>159.22</v>
      </c>
      <c r="K579" s="3">
        <f>940977302/10^8</f>
        <v>9.4097730199999994</v>
      </c>
      <c r="L579" s="3">
        <f>49849032/10^8</f>
        <v>0.49849031999999999</v>
      </c>
      <c r="M579" s="3">
        <f>1150403654/10^8</f>
        <v>11.50403654</v>
      </c>
      <c r="N579" s="5"/>
    </row>
    <row r="580" spans="1:14" x14ac:dyDescent="0.3">
      <c r="A580" s="7">
        <v>44633.020833333336</v>
      </c>
      <c r="B580" s="7">
        <v>44633.03125</v>
      </c>
      <c r="C580" s="3">
        <f>8007642/10^5</f>
        <v>80.076419999999999</v>
      </c>
      <c r="D580" s="3">
        <f>4812669/10^5</f>
        <v>48.126690000000004</v>
      </c>
      <c r="E580" s="3"/>
      <c r="F580" s="3"/>
      <c r="G580" s="3">
        <f>3194973/10^5</f>
        <v>31.949729999999999</v>
      </c>
      <c r="H580" s="3">
        <f t="shared" si="33"/>
        <v>349</v>
      </c>
      <c r="I580" s="3">
        <f t="shared" si="33"/>
        <v>349</v>
      </c>
      <c r="J580" s="3">
        <f t="shared" si="32"/>
        <v>159.22</v>
      </c>
      <c r="K580" s="3">
        <f>924945198/10^8</f>
        <v>9.2494519799999999</v>
      </c>
      <c r="L580" s="3">
        <f>90246075/10^8</f>
        <v>0.90246075000000003</v>
      </c>
      <c r="M580" s="3">
        <f>693925893/10^8</f>
        <v>6.9392589300000003</v>
      </c>
      <c r="N580" s="5"/>
    </row>
    <row r="581" spans="1:14" x14ac:dyDescent="0.3">
      <c r="A581" s="7">
        <v>44633.03125</v>
      </c>
      <c r="B581" s="7">
        <v>44633.041666666664</v>
      </c>
      <c r="C581" s="3">
        <f>9816979/10^5</f>
        <v>98.169790000000006</v>
      </c>
      <c r="D581" s="3">
        <f>3841397/10^5</f>
        <v>38.413969999999999</v>
      </c>
      <c r="E581" s="3"/>
      <c r="F581" s="3"/>
      <c r="G581" s="3">
        <f>5975582/10^5</f>
        <v>59.75582</v>
      </c>
      <c r="H581" s="3">
        <f t="shared" si="33"/>
        <v>349</v>
      </c>
      <c r="I581" s="3">
        <f t="shared" si="33"/>
        <v>349</v>
      </c>
      <c r="J581" s="3">
        <f t="shared" si="32"/>
        <v>159.22</v>
      </c>
      <c r="K581" s="3">
        <f>951906959/10^8</f>
        <v>9.5190695900000009</v>
      </c>
      <c r="L581" s="3">
        <f>91188298/10^8</f>
        <v>0.91188298000000001</v>
      </c>
      <c r="M581" s="3">
        <f>351182661/10^8</f>
        <v>3.51182661</v>
      </c>
      <c r="N581" s="5"/>
    </row>
    <row r="582" spans="1:14" x14ac:dyDescent="0.3">
      <c r="A582" s="7">
        <v>44633.041666666664</v>
      </c>
      <c r="B582" s="7">
        <v>44633.052083333336</v>
      </c>
      <c r="C582" s="3">
        <f>17273602/10^5</f>
        <v>172.73602</v>
      </c>
      <c r="D582" s="3">
        <f>2355862/10^5</f>
        <v>23.558620000000001</v>
      </c>
      <c r="E582" s="3"/>
      <c r="F582" s="3"/>
      <c r="G582" s="3">
        <f>1491774/10^4</f>
        <v>149.17740000000001</v>
      </c>
      <c r="H582" s="3">
        <f>2833698386/10^7</f>
        <v>283.36983859999998</v>
      </c>
      <c r="I582" s="3">
        <f>27978/10^2</f>
        <v>279.77999999999997</v>
      </c>
      <c r="J582" s="3">
        <f t="shared" si="32"/>
        <v>159.22</v>
      </c>
      <c r="K582" s="3">
        <f>907895139/10^8</f>
        <v>9.0789513900000003</v>
      </c>
      <c r="L582" s="3">
        <f>60156549/10^8</f>
        <v>0.60156549000000004</v>
      </c>
      <c r="M582" s="3">
        <f>429484215/10^8</f>
        <v>4.29484215</v>
      </c>
      <c r="N582" s="5"/>
    </row>
    <row r="583" spans="1:14" x14ac:dyDescent="0.3">
      <c r="A583" s="7">
        <v>44633.052083333336</v>
      </c>
      <c r="B583" s="7">
        <v>44633.0625</v>
      </c>
      <c r="C583" s="3">
        <f>16499634/10^5</f>
        <v>164.99634</v>
      </c>
      <c r="D583" s="3">
        <f>3055556/10^5</f>
        <v>30.55556</v>
      </c>
      <c r="E583" s="3"/>
      <c r="F583" s="3"/>
      <c r="G583" s="3">
        <f>13444078/10^5</f>
        <v>134.44077999999999</v>
      </c>
      <c r="H583" s="3">
        <f t="shared" ref="H583:I585" si="34">349/10^0</f>
        <v>349</v>
      </c>
      <c r="I583" s="3">
        <f t="shared" si="34"/>
        <v>349</v>
      </c>
      <c r="J583" s="3">
        <f t="shared" si="32"/>
        <v>159.22</v>
      </c>
      <c r="K583" s="3">
        <f>971867289/10^8</f>
        <v>9.7186728900000006</v>
      </c>
      <c r="L583" s="3">
        <f>60819922/10^8</f>
        <v>0.60819922000000004</v>
      </c>
      <c r="M583" s="3">
        <f>462388205/10^8</f>
        <v>4.6238820499999997</v>
      </c>
      <c r="N583" s="5"/>
    </row>
    <row r="584" spans="1:14" x14ac:dyDescent="0.3">
      <c r="A584" s="7">
        <v>44633.0625</v>
      </c>
      <c r="B584" s="7">
        <v>44633.072916666664</v>
      </c>
      <c r="C584" s="3">
        <f>1436207/10^4</f>
        <v>143.6207</v>
      </c>
      <c r="D584" s="3">
        <f>3191471/10^5</f>
        <v>31.914709999999999</v>
      </c>
      <c r="E584" s="3"/>
      <c r="F584" s="3"/>
      <c r="G584" s="3">
        <f>11170599/10^5</f>
        <v>111.70599</v>
      </c>
      <c r="H584" s="3">
        <f t="shared" si="34"/>
        <v>349</v>
      </c>
      <c r="I584" s="3">
        <f t="shared" si="34"/>
        <v>349</v>
      </c>
      <c r="J584" s="3">
        <f t="shared" si="32"/>
        <v>159.22</v>
      </c>
      <c r="K584" s="3">
        <f>930678196/10^8</f>
        <v>9.3067819600000004</v>
      </c>
      <c r="L584" s="3">
        <f>70919595/10^8</f>
        <v>0.70919595000000002</v>
      </c>
      <c r="M584" s="3">
        <f>519284732/10^8</f>
        <v>5.1928473200000003</v>
      </c>
      <c r="N584" s="5"/>
    </row>
    <row r="585" spans="1:14" x14ac:dyDescent="0.3">
      <c r="A585" s="7">
        <v>44633.072916666664</v>
      </c>
      <c r="B585" s="7">
        <v>44633.083333333336</v>
      </c>
      <c r="C585" s="3">
        <f>15202149/10^5</f>
        <v>152.02149</v>
      </c>
      <c r="D585" s="3">
        <f>3180611/10^5</f>
        <v>31.80611</v>
      </c>
      <c r="E585" s="3"/>
      <c r="F585" s="3"/>
      <c r="G585" s="3">
        <f>12021538/10^5</f>
        <v>120.21538</v>
      </c>
      <c r="H585" s="3">
        <f t="shared" si="34"/>
        <v>349</v>
      </c>
      <c r="I585" s="3">
        <f t="shared" si="34"/>
        <v>349</v>
      </c>
      <c r="J585" s="3">
        <f t="shared" si="32"/>
        <v>159.22</v>
      </c>
      <c r="K585" s="3">
        <f>932516297/10^8</f>
        <v>9.3251629699999992</v>
      </c>
      <c r="L585" s="3">
        <f>70828871/10^8</f>
        <v>0.70828871000000004</v>
      </c>
      <c r="M585" s="3">
        <f>373091035/10^8</f>
        <v>3.7309103499999998</v>
      </c>
      <c r="N585" s="5"/>
    </row>
    <row r="586" spans="1:14" x14ac:dyDescent="0.3">
      <c r="A586" s="7">
        <v>44633.083333333336</v>
      </c>
      <c r="B586" s="7">
        <v>44633.09375</v>
      </c>
      <c r="C586" s="3">
        <f>18035324/10^5</f>
        <v>180.35324</v>
      </c>
      <c r="D586" s="3">
        <f>4296097/10^5</f>
        <v>42.960970000000003</v>
      </c>
      <c r="E586" s="3"/>
      <c r="F586" s="3"/>
      <c r="G586" s="3">
        <f>13739227/10^5</f>
        <v>137.39227</v>
      </c>
      <c r="H586" s="3">
        <f>3150299999/10^7</f>
        <v>315.02999990000001</v>
      </c>
      <c r="I586" s="3">
        <f>31503/10^2</f>
        <v>315.02999999999997</v>
      </c>
      <c r="J586" s="3">
        <f t="shared" si="32"/>
        <v>159.22</v>
      </c>
      <c r="K586" s="3">
        <f>924067317/10^8</f>
        <v>9.2406731700000009</v>
      </c>
      <c r="L586" s="3">
        <f>42105611/10^8</f>
        <v>0.42105610999999998</v>
      </c>
      <c r="M586" s="3">
        <f>64253785/10^7</f>
        <v>6.4253784999999999</v>
      </c>
      <c r="N586" s="5"/>
    </row>
    <row r="587" spans="1:14" x14ac:dyDescent="0.3">
      <c r="A587" s="7">
        <v>44633.09375</v>
      </c>
      <c r="B587" s="7">
        <v>44633.104166666664</v>
      </c>
      <c r="C587" s="3">
        <f>14821613/10^5</f>
        <v>148.21612999999999</v>
      </c>
      <c r="D587" s="3">
        <f>4464566/10^5</f>
        <v>44.645659999999999</v>
      </c>
      <c r="E587" s="3"/>
      <c r="F587" s="3"/>
      <c r="G587" s="3">
        <f>10357047/10^5</f>
        <v>103.57047</v>
      </c>
      <c r="H587" s="3">
        <f>2715163598/10^7</f>
        <v>271.51635979999998</v>
      </c>
      <c r="I587" s="3">
        <f>2708/10^1</f>
        <v>270.8</v>
      </c>
      <c r="J587" s="3">
        <f t="shared" si="32"/>
        <v>159.22</v>
      </c>
      <c r="K587" s="3">
        <f>856907404/10^8</f>
        <v>8.5690740400000003</v>
      </c>
      <c r="L587" s="3">
        <f>42874881/10^8</f>
        <v>0.42874880999999998</v>
      </c>
      <c r="M587" s="3">
        <f>385245445/10^8</f>
        <v>3.8524544500000002</v>
      </c>
      <c r="N587" s="5"/>
    </row>
    <row r="588" spans="1:14" x14ac:dyDescent="0.3">
      <c r="A588" s="7">
        <v>44633.104166666664</v>
      </c>
      <c r="B588" s="7">
        <v>44633.114583333336</v>
      </c>
      <c r="C588" s="3">
        <f>13663138/10^5</f>
        <v>136.63138000000001</v>
      </c>
      <c r="D588" s="3">
        <f>225482/10^4</f>
        <v>22.548200000000001</v>
      </c>
      <c r="E588" s="3"/>
      <c r="F588" s="3"/>
      <c r="G588" s="3">
        <f>11408318/10^5</f>
        <v>114.08318</v>
      </c>
      <c r="H588" s="3">
        <f>2759766967/10^7</f>
        <v>275.97669669999999</v>
      </c>
      <c r="I588" s="3">
        <f>27016/10^2</f>
        <v>270.16000000000003</v>
      </c>
      <c r="J588" s="3">
        <f t="shared" si="32"/>
        <v>159.22</v>
      </c>
      <c r="K588" s="3">
        <f>860621/10^5</f>
        <v>8.6062100000000008</v>
      </c>
      <c r="L588" s="3">
        <f>56922023/10^8</f>
        <v>0.56922022999999999</v>
      </c>
      <c r="M588" s="3">
        <f>21551404/10^7</f>
        <v>2.1551404000000001</v>
      </c>
      <c r="N588" s="5"/>
    </row>
    <row r="589" spans="1:14" x14ac:dyDescent="0.3">
      <c r="A589" s="7">
        <v>44633.114583333336</v>
      </c>
      <c r="B589" s="7">
        <v>44633.125</v>
      </c>
      <c r="C589" s="3">
        <f>1326865/10^4</f>
        <v>132.6865</v>
      </c>
      <c r="D589" s="3">
        <f>3031866/10^5</f>
        <v>30.318660000000001</v>
      </c>
      <c r="E589" s="3"/>
      <c r="F589" s="3"/>
      <c r="G589" s="3">
        <f>10236784/10^5</f>
        <v>102.36784</v>
      </c>
      <c r="H589" s="3">
        <f>2760521287/10^7</f>
        <v>276.05212870000003</v>
      </c>
      <c r="I589" s="3">
        <f>27016/10^2</f>
        <v>270.16000000000003</v>
      </c>
      <c r="J589" s="3">
        <f t="shared" si="32"/>
        <v>159.22</v>
      </c>
      <c r="K589" s="3">
        <f>85677401/10^7</f>
        <v>8.5677401</v>
      </c>
      <c r="L589" s="3">
        <f>57234844/10^8</f>
        <v>0.57234843999999996</v>
      </c>
      <c r="M589" s="3">
        <f>236593122/10^8</f>
        <v>2.3659312199999998</v>
      </c>
      <c r="N589" s="5"/>
    </row>
    <row r="590" spans="1:14" x14ac:dyDescent="0.3">
      <c r="A590" s="7">
        <v>44633.125</v>
      </c>
      <c r="B590" s="7">
        <v>44633.135416666664</v>
      </c>
      <c r="C590" s="3">
        <f>16182752/10^5</f>
        <v>161.82751999999999</v>
      </c>
      <c r="D590" s="3">
        <f>3986003/10^5</f>
        <v>39.860030000000002</v>
      </c>
      <c r="E590" s="3"/>
      <c r="F590" s="3"/>
      <c r="G590" s="3">
        <f>12196749/10^5</f>
        <v>121.96749</v>
      </c>
      <c r="H590" s="3">
        <f>3100599999/10^7</f>
        <v>310.05999989999998</v>
      </c>
      <c r="I590" s="3">
        <f>31006/10^2</f>
        <v>310.06</v>
      </c>
      <c r="J590" s="3">
        <f t="shared" si="32"/>
        <v>159.22</v>
      </c>
      <c r="K590" s="3">
        <f>859693724/10^8</f>
        <v>8.5969372400000008</v>
      </c>
      <c r="L590" s="3">
        <f>46226802/10^8</f>
        <v>0.46226802</v>
      </c>
      <c r="M590" s="3">
        <f>443922096/10^8</f>
        <v>4.4392209600000001</v>
      </c>
      <c r="N590" s="5"/>
    </row>
    <row r="591" spans="1:14" x14ac:dyDescent="0.3">
      <c r="A591" s="7">
        <v>44633.135416666664</v>
      </c>
      <c r="B591" s="7">
        <v>44633.145833333336</v>
      </c>
      <c r="C591" s="3">
        <f>15058443/10^5</f>
        <v>150.58443</v>
      </c>
      <c r="D591" s="3">
        <f>3218242/10^5</f>
        <v>32.18242</v>
      </c>
      <c r="E591" s="3"/>
      <c r="F591" s="3"/>
      <c r="G591" s="3">
        <f>11840201/10^5</f>
        <v>118.40201</v>
      </c>
      <c r="H591" s="3">
        <f>274518759/10^6</f>
        <v>274.51875899999999</v>
      </c>
      <c r="I591" s="3">
        <f>25984/10^2</f>
        <v>259.83999999999997</v>
      </c>
      <c r="J591" s="3">
        <f t="shared" si="32"/>
        <v>159.22</v>
      </c>
      <c r="K591" s="3">
        <f>845623436/10^8</f>
        <v>8.4562343599999998</v>
      </c>
      <c r="L591" s="3">
        <f>46289243/10^8</f>
        <v>0.46289243000000002</v>
      </c>
      <c r="M591" s="3">
        <f>400224932/10^8</f>
        <v>4.0022493199999998</v>
      </c>
      <c r="N591" s="5"/>
    </row>
    <row r="592" spans="1:14" x14ac:dyDescent="0.3">
      <c r="A592" s="7">
        <v>44633.145833333336</v>
      </c>
      <c r="B592" s="7">
        <v>44633.15625</v>
      </c>
      <c r="C592" s="3">
        <f>15102102/10^5</f>
        <v>151.02101999999999</v>
      </c>
      <c r="D592" s="3">
        <f>3493841/10^5</f>
        <v>34.938409999999998</v>
      </c>
      <c r="E592" s="3"/>
      <c r="F592" s="3"/>
      <c r="G592" s="3">
        <f>11608261/10^5</f>
        <v>116.08261</v>
      </c>
      <c r="H592" s="3">
        <f>2715489823/10^7</f>
        <v>271.54898229999998</v>
      </c>
      <c r="I592" s="3">
        <f>2708/10^1</f>
        <v>270.8</v>
      </c>
      <c r="J592" s="3">
        <f t="shared" si="32"/>
        <v>159.22</v>
      </c>
      <c r="K592" s="3">
        <f>814344674/10^8</f>
        <v>8.1434467399999999</v>
      </c>
      <c r="L592" s="3">
        <f>45558536/10^8</f>
        <v>0.45558535999999999</v>
      </c>
      <c r="M592" s="3">
        <f>328833622/10^8</f>
        <v>3.2883362200000001</v>
      </c>
      <c r="N592" s="5"/>
    </row>
    <row r="593" spans="1:14" x14ac:dyDescent="0.3">
      <c r="A593" s="7">
        <v>44633.15625</v>
      </c>
      <c r="B593" s="7">
        <v>44633.166666666664</v>
      </c>
      <c r="C593" s="3">
        <f>14323301/10^5</f>
        <v>143.23301000000001</v>
      </c>
      <c r="D593" s="3">
        <f>3900509/10^5</f>
        <v>39.005090000000003</v>
      </c>
      <c r="E593" s="3"/>
      <c r="F593" s="3"/>
      <c r="G593" s="3">
        <f>10422792/10^5</f>
        <v>104.22792</v>
      </c>
      <c r="H593" s="3">
        <f>2716802977/10^7</f>
        <v>271.68029769999998</v>
      </c>
      <c r="I593" s="3">
        <f>2708/10^1</f>
        <v>270.8</v>
      </c>
      <c r="J593" s="3">
        <f t="shared" si="32"/>
        <v>159.22</v>
      </c>
      <c r="K593" s="3">
        <f>815015759/10^8</f>
        <v>8.1501575899999992</v>
      </c>
      <c r="L593" s="3">
        <f>46214143/10^8</f>
        <v>0.46214143000000002</v>
      </c>
      <c r="M593" s="3">
        <f>430339012/10^8</f>
        <v>4.3033901200000004</v>
      </c>
      <c r="N593" s="5"/>
    </row>
    <row r="594" spans="1:14" x14ac:dyDescent="0.3">
      <c r="A594" s="7">
        <v>44633.166666666664</v>
      </c>
      <c r="B594" s="7">
        <v>44633.177083333336</v>
      </c>
      <c r="C594" s="3">
        <f>13732722/10^5</f>
        <v>137.32722000000001</v>
      </c>
      <c r="D594" s="3">
        <f>412021/10^4</f>
        <v>41.202100000000002</v>
      </c>
      <c r="E594" s="3"/>
      <c r="F594" s="3"/>
      <c r="G594" s="3">
        <f>9612512/10^5</f>
        <v>96.125119999999995</v>
      </c>
      <c r="H594" s="3">
        <f>2758195018/10^7</f>
        <v>275.81950180000001</v>
      </c>
      <c r="I594" s="3">
        <f>27017/10^2</f>
        <v>270.17</v>
      </c>
      <c r="J594" s="3">
        <f t="shared" si="32"/>
        <v>159.22</v>
      </c>
      <c r="K594" s="3">
        <f>834824365/10^8</f>
        <v>8.3482436500000006</v>
      </c>
      <c r="L594" s="3">
        <f>43835/10^5</f>
        <v>0.43835000000000002</v>
      </c>
      <c r="M594" s="3">
        <f>394347077/10^8</f>
        <v>3.9434707699999998</v>
      </c>
      <c r="N594" s="5"/>
    </row>
    <row r="595" spans="1:14" x14ac:dyDescent="0.3">
      <c r="A595" s="7">
        <v>44633.177083333336</v>
      </c>
      <c r="B595" s="7">
        <v>44633.1875</v>
      </c>
      <c r="C595" s="3">
        <f>13891811/10^5</f>
        <v>138.91811000000001</v>
      </c>
      <c r="D595" s="3">
        <f>2955568/10^5</f>
        <v>29.555679999999999</v>
      </c>
      <c r="E595" s="3"/>
      <c r="F595" s="3"/>
      <c r="G595" s="3">
        <f>10936243/10^5</f>
        <v>109.36243</v>
      </c>
      <c r="H595" s="3">
        <f>2762989728/10^7</f>
        <v>276.2989728</v>
      </c>
      <c r="I595" s="3">
        <f>27015/10^2</f>
        <v>270.14999999999998</v>
      </c>
      <c r="J595" s="3">
        <f t="shared" si="32"/>
        <v>159.22</v>
      </c>
      <c r="K595" s="3">
        <f>845294834/10^8</f>
        <v>8.4529483400000007</v>
      </c>
      <c r="L595" s="3">
        <f>43235158/10^8</f>
        <v>0.43235158000000001</v>
      </c>
      <c r="M595" s="3">
        <f>316578591/10^8</f>
        <v>3.1657859099999999</v>
      </c>
      <c r="N595" s="5"/>
    </row>
    <row r="596" spans="1:14" x14ac:dyDescent="0.3">
      <c r="A596" s="7">
        <v>44633.1875</v>
      </c>
      <c r="B596" s="7">
        <v>44633.197916666664</v>
      </c>
      <c r="C596" s="3">
        <f>13863459/10^5</f>
        <v>138.63459</v>
      </c>
      <c r="D596" s="3">
        <f>1955334/10^5</f>
        <v>19.553339999999999</v>
      </c>
      <c r="E596" s="3"/>
      <c r="F596" s="3"/>
      <c r="G596" s="3">
        <f>11908125/10^5</f>
        <v>119.08125</v>
      </c>
      <c r="H596" s="3">
        <f>2754751249/10^7</f>
        <v>275.47512490000003</v>
      </c>
      <c r="I596" s="3">
        <f>25984/10^2</f>
        <v>259.83999999999997</v>
      </c>
      <c r="J596" s="3">
        <f t="shared" si="32"/>
        <v>159.22</v>
      </c>
      <c r="K596" s="3">
        <f>858833982/10^8</f>
        <v>8.5883398199999998</v>
      </c>
      <c r="L596" s="3">
        <f>36497599/10^8</f>
        <v>0.36497598999999997</v>
      </c>
      <c r="M596" s="3">
        <f>18735768/10^7</f>
        <v>1.8735767999999999</v>
      </c>
      <c r="N596" s="5"/>
    </row>
    <row r="597" spans="1:14" x14ac:dyDescent="0.3">
      <c r="A597" s="7">
        <v>44633.197916666664</v>
      </c>
      <c r="B597" s="7">
        <v>44633.208333333336</v>
      </c>
      <c r="C597" s="3">
        <f>14817838/10^5</f>
        <v>148.17838</v>
      </c>
      <c r="D597" s="3">
        <f>2641126/10^5</f>
        <v>26.411259999999999</v>
      </c>
      <c r="E597" s="3"/>
      <c r="F597" s="3"/>
      <c r="G597" s="3">
        <f>12176712/10^5</f>
        <v>121.76712000000001</v>
      </c>
      <c r="H597" s="3">
        <f>2760557782/10^7</f>
        <v>276.05577820000002</v>
      </c>
      <c r="I597" s="3">
        <f>27016/10^2</f>
        <v>270.16000000000003</v>
      </c>
      <c r="J597" s="3">
        <f t="shared" si="32"/>
        <v>159.22</v>
      </c>
      <c r="K597" s="3">
        <f>820270945/10^8</f>
        <v>8.2027094500000004</v>
      </c>
      <c r="L597" s="3">
        <f>36770477/10^8</f>
        <v>0.36770477000000001</v>
      </c>
      <c r="M597" s="3">
        <f>370379544/10^8</f>
        <v>3.7037954399999999</v>
      </c>
      <c r="N597" s="5"/>
    </row>
    <row r="598" spans="1:14" x14ac:dyDescent="0.3">
      <c r="A598" s="7">
        <v>44633.208333333336</v>
      </c>
      <c r="B598" s="7">
        <v>44633.21875</v>
      </c>
      <c r="C598" s="3">
        <f>11431621/10^5</f>
        <v>114.31621</v>
      </c>
      <c r="D598" s="3">
        <f>2843737/10^5</f>
        <v>28.437370000000001</v>
      </c>
      <c r="E598" s="3"/>
      <c r="F598" s="3"/>
      <c r="G598" s="3">
        <f>8587884/10^5</f>
        <v>85.878839999999997</v>
      </c>
      <c r="H598" s="3">
        <f>2759099599/10^7</f>
        <v>275.90995989999999</v>
      </c>
      <c r="I598" s="3">
        <f>2703/10^1</f>
        <v>270.3</v>
      </c>
      <c r="J598" s="3">
        <f t="shared" si="32"/>
        <v>159.22</v>
      </c>
      <c r="K598" s="3">
        <f>854979023/10^8</f>
        <v>8.5497902299999993</v>
      </c>
      <c r="L598" s="3">
        <f>46545445/10^8</f>
        <v>0.46545445000000002</v>
      </c>
      <c r="M598" s="3">
        <f>366735355/10^8</f>
        <v>3.6673535500000001</v>
      </c>
      <c r="N598" s="5"/>
    </row>
    <row r="599" spans="1:14" x14ac:dyDescent="0.3">
      <c r="A599" s="7">
        <v>44633.21875</v>
      </c>
      <c r="B599" s="7">
        <v>44633.229166666664</v>
      </c>
      <c r="C599" s="3">
        <f>13963651/10^5</f>
        <v>139.63650999999999</v>
      </c>
      <c r="D599" s="3">
        <f>2392679/10^5</f>
        <v>23.92679</v>
      </c>
      <c r="E599" s="3"/>
      <c r="F599" s="3"/>
      <c r="G599" s="3">
        <f>11570972/10^5</f>
        <v>115.70972</v>
      </c>
      <c r="H599" s="3">
        <f>2739720125/10^7</f>
        <v>273.97201250000001</v>
      </c>
      <c r="I599" s="3">
        <f>2707/10^1</f>
        <v>270.7</v>
      </c>
      <c r="J599" s="3">
        <f t="shared" si="32"/>
        <v>159.22</v>
      </c>
      <c r="K599" s="3">
        <f>847235876/10^8</f>
        <v>8.4723587600000005</v>
      </c>
      <c r="L599" s="3">
        <f>45132392/10^8</f>
        <v>0.45132391999999999</v>
      </c>
      <c r="M599" s="3">
        <f>234376045/10^8</f>
        <v>2.34376045</v>
      </c>
      <c r="N599" s="5"/>
    </row>
    <row r="600" spans="1:14" x14ac:dyDescent="0.3">
      <c r="A600" s="7">
        <v>44633.229166666664</v>
      </c>
      <c r="B600" s="7">
        <v>44633.239583333336</v>
      </c>
      <c r="C600" s="3">
        <f>13064847/10^5</f>
        <v>130.64847</v>
      </c>
      <c r="D600" s="3">
        <f>2613862/10^5</f>
        <v>26.13862</v>
      </c>
      <c r="E600" s="3"/>
      <c r="F600" s="3"/>
      <c r="G600" s="3">
        <f>10450985/10^5</f>
        <v>104.50985</v>
      </c>
      <c r="H600" s="3">
        <f>2742791078/10^7</f>
        <v>274.27910780000002</v>
      </c>
      <c r="I600" s="3">
        <f>2721/10^1</f>
        <v>272.10000000000002</v>
      </c>
      <c r="J600" s="3">
        <f>0/10^0</f>
        <v>0</v>
      </c>
      <c r="K600" s="3">
        <f>848894651/10^8</f>
        <v>8.4889465099999999</v>
      </c>
      <c r="L600" s="3">
        <f>34295171/10^8</f>
        <v>0.34295171000000002</v>
      </c>
      <c r="M600" s="3">
        <f>580019209/10^8</f>
        <v>5.8001920900000004</v>
      </c>
      <c r="N600" s="5"/>
    </row>
    <row r="601" spans="1:14" x14ac:dyDescent="0.3">
      <c r="A601" s="7">
        <v>44633.239583333336</v>
      </c>
      <c r="B601" s="7">
        <v>44633.25</v>
      </c>
      <c r="C601" s="3">
        <f>9799514/10^5</f>
        <v>97.995140000000006</v>
      </c>
      <c r="D601" s="3">
        <f>2702543/10^5</f>
        <v>27.02543</v>
      </c>
      <c r="E601" s="3"/>
      <c r="F601" s="3"/>
      <c r="G601" s="3">
        <f>7096971/10^5</f>
        <v>70.969710000000006</v>
      </c>
      <c r="H601" s="3">
        <f>2740691138/10^7</f>
        <v>274.06911380000003</v>
      </c>
      <c r="I601" s="3">
        <f>2703/10^1</f>
        <v>270.3</v>
      </c>
      <c r="J601" s="3">
        <f>0/10^0</f>
        <v>0</v>
      </c>
      <c r="K601" s="3">
        <f>830934136/10^8</f>
        <v>8.3093413599999995</v>
      </c>
      <c r="L601" s="3">
        <f>35314943/10^8</f>
        <v>0.35314942999999999</v>
      </c>
      <c r="M601" s="3">
        <f>684125379/10^8</f>
        <v>6.8412537899999997</v>
      </c>
      <c r="N601" s="5"/>
    </row>
    <row r="602" spans="1:14" x14ac:dyDescent="0.3">
      <c r="A602" s="7">
        <v>44633.25</v>
      </c>
      <c r="B602" s="7">
        <v>44633.260416666664</v>
      </c>
      <c r="C602" s="3">
        <f>7907075/10^5</f>
        <v>79.070750000000004</v>
      </c>
      <c r="D602" s="3">
        <f>4618627/10^5</f>
        <v>46.18627</v>
      </c>
      <c r="E602" s="3"/>
      <c r="F602" s="3"/>
      <c r="G602" s="3">
        <f>3288448/10^5</f>
        <v>32.884480000000003</v>
      </c>
      <c r="H602" s="3">
        <f>2779385402/10^7</f>
        <v>277.93854019999998</v>
      </c>
      <c r="I602" s="3">
        <f>2703/10^1</f>
        <v>270.3</v>
      </c>
      <c r="J602" s="3">
        <f>0/10^0</f>
        <v>0</v>
      </c>
      <c r="K602" s="3">
        <f>851163234/10^8</f>
        <v>8.5116323400000002</v>
      </c>
      <c r="L602" s="3">
        <f>139387183/10^8</f>
        <v>1.3938718299999999</v>
      </c>
      <c r="M602" s="3">
        <f>978777246/10^8</f>
        <v>9.7877724599999993</v>
      </c>
      <c r="N602" s="5"/>
    </row>
    <row r="603" spans="1:14" x14ac:dyDescent="0.3">
      <c r="A603" s="7">
        <v>44633.260416666664</v>
      </c>
      <c r="B603" s="7">
        <v>44633.270833333336</v>
      </c>
      <c r="C603" s="3">
        <f>9250852/10^5</f>
        <v>92.508520000000004</v>
      </c>
      <c r="D603" s="3">
        <f>3058993/10^5</f>
        <v>30.589929999999999</v>
      </c>
      <c r="E603" s="3"/>
      <c r="F603" s="3"/>
      <c r="G603" s="3">
        <f>6191859/10^5</f>
        <v>61.918590000000002</v>
      </c>
      <c r="H603" s="3">
        <f>2790931956/10^7</f>
        <v>279.0931956</v>
      </c>
      <c r="I603" s="3">
        <f>2716/10^1</f>
        <v>271.60000000000002</v>
      </c>
      <c r="J603" s="3">
        <f>17946/10^2</f>
        <v>179.46</v>
      </c>
      <c r="K603" s="3">
        <f>823616262/10^8</f>
        <v>8.23616262</v>
      </c>
      <c r="L603" s="3">
        <f>136841164/10^8</f>
        <v>1.3684116399999999</v>
      </c>
      <c r="M603" s="3">
        <f>361057036/10^8</f>
        <v>3.6105703600000001</v>
      </c>
      <c r="N603" s="5"/>
    </row>
    <row r="604" spans="1:14" x14ac:dyDescent="0.3">
      <c r="A604" s="7">
        <v>44633.270833333336</v>
      </c>
      <c r="B604" s="7">
        <v>44633.28125</v>
      </c>
      <c r="C604" s="3">
        <f>9009378/10^5</f>
        <v>90.093779999999995</v>
      </c>
      <c r="D604" s="3">
        <f>2828322/10^5</f>
        <v>28.28322</v>
      </c>
      <c r="E604" s="3"/>
      <c r="F604" s="3"/>
      <c r="G604" s="3">
        <f>6181056/10^5</f>
        <v>61.810560000000002</v>
      </c>
      <c r="H604" s="3">
        <f>2770911607/10^7</f>
        <v>277.09116069999999</v>
      </c>
      <c r="I604" s="3">
        <f>2716/10^1</f>
        <v>271.60000000000002</v>
      </c>
      <c r="J604" s="3">
        <f>0/10^0</f>
        <v>0</v>
      </c>
      <c r="K604" s="3">
        <f>773645228/10^8</f>
        <v>7.73645228</v>
      </c>
      <c r="L604" s="3">
        <f>129836039/10^8</f>
        <v>1.29836039</v>
      </c>
      <c r="M604" s="3">
        <f>599429659/10^8</f>
        <v>5.9942965900000003</v>
      </c>
      <c r="N604" s="5"/>
    </row>
    <row r="605" spans="1:14" x14ac:dyDescent="0.3">
      <c r="A605" s="7">
        <v>44633.28125</v>
      </c>
      <c r="B605" s="7">
        <v>44633.291666666664</v>
      </c>
      <c r="C605" s="3">
        <f>7992069/10^5</f>
        <v>79.920689999999993</v>
      </c>
      <c r="D605" s="3">
        <f>3630614/10^5</f>
        <v>36.306139999999999</v>
      </c>
      <c r="E605" s="3"/>
      <c r="F605" s="3"/>
      <c r="G605" s="3">
        <f>4361455/10^5</f>
        <v>43.614550000000001</v>
      </c>
      <c r="H605" s="3">
        <f>2777842639/10^7</f>
        <v>277.78426389999998</v>
      </c>
      <c r="I605" s="3">
        <f>2716/10^1</f>
        <v>271.60000000000002</v>
      </c>
      <c r="J605" s="3">
        <f>17956/10^2</f>
        <v>179.56</v>
      </c>
      <c r="K605" s="3">
        <f>762828905/10^8</f>
        <v>7.6282890500000002</v>
      </c>
      <c r="L605" s="3">
        <f>127239135/10^8</f>
        <v>1.2723913499999999</v>
      </c>
      <c r="M605" s="3">
        <f>376908402/10^8</f>
        <v>3.7690840200000002</v>
      </c>
      <c r="N605" s="5"/>
    </row>
    <row r="606" spans="1:14" x14ac:dyDescent="0.3">
      <c r="A606" s="7">
        <v>44633.291666666664</v>
      </c>
      <c r="B606" s="7">
        <v>44633.302083333336</v>
      </c>
      <c r="C606" s="3">
        <f>10416744/10^5</f>
        <v>104.16744</v>
      </c>
      <c r="D606" s="3">
        <f>4653237/10^5</f>
        <v>46.53237</v>
      </c>
      <c r="E606" s="3"/>
      <c r="F606" s="3"/>
      <c r="G606" s="3">
        <f>5763507/10^5</f>
        <v>57.635069999999999</v>
      </c>
      <c r="H606" s="3">
        <f>2708147139/10^7</f>
        <v>270.81471390000002</v>
      </c>
      <c r="I606" s="3">
        <f>2707/10^1</f>
        <v>270.7</v>
      </c>
      <c r="J606" s="3">
        <f>21935/10^2</f>
        <v>219.35</v>
      </c>
      <c r="K606" s="3">
        <f>68048699/10^7</f>
        <v>6.8048698999999999</v>
      </c>
      <c r="L606" s="3">
        <f>76671656/10^8</f>
        <v>0.76671655999999999</v>
      </c>
      <c r="M606" s="3">
        <f>369316645/10^8</f>
        <v>3.6931664500000001</v>
      </c>
      <c r="N606" s="5"/>
    </row>
    <row r="607" spans="1:14" x14ac:dyDescent="0.3">
      <c r="A607" s="7">
        <v>44633.302083333336</v>
      </c>
      <c r="B607" s="7">
        <v>44633.3125</v>
      </c>
      <c r="C607" s="3">
        <f>6456619/10^5</f>
        <v>64.566190000000006</v>
      </c>
      <c r="D607" s="3">
        <f>3478688/10^5</f>
        <v>34.786879999999996</v>
      </c>
      <c r="E607" s="3"/>
      <c r="F607" s="3"/>
      <c r="G607" s="3">
        <f>2977931/10^5</f>
        <v>29.779309999999999</v>
      </c>
      <c r="H607" s="3">
        <f>2724563684/10^7</f>
        <v>272.45636839999997</v>
      </c>
      <c r="I607" s="3">
        <f>2705/10^1</f>
        <v>270.5</v>
      </c>
      <c r="J607" s="3">
        <f>0/10^0</f>
        <v>0</v>
      </c>
      <c r="K607" s="3">
        <f>696744686/10^8</f>
        <v>6.9674468599999999</v>
      </c>
      <c r="L607" s="3">
        <f>75409839/10^8</f>
        <v>0.75409839000000001</v>
      </c>
      <c r="M607" s="3">
        <f>609408355/10^8</f>
        <v>6.0940835499999997</v>
      </c>
      <c r="N607" s="5"/>
    </row>
    <row r="608" spans="1:14" x14ac:dyDescent="0.3">
      <c r="A608" s="7">
        <v>44633.3125</v>
      </c>
      <c r="B608" s="7">
        <v>44633.322916666664</v>
      </c>
      <c r="C608" s="3">
        <f>621915/10^4</f>
        <v>62.191499999999998</v>
      </c>
      <c r="D608" s="3">
        <f>5346322/10^5</f>
        <v>53.46322</v>
      </c>
      <c r="E608" s="3"/>
      <c r="F608" s="3"/>
      <c r="G608" s="3">
        <f>872828/10^5</f>
        <v>8.7282799999999998</v>
      </c>
      <c r="H608" s="3">
        <f>2723584915/10^7</f>
        <v>272.35849150000001</v>
      </c>
      <c r="I608" s="3">
        <f>2705/10^1</f>
        <v>270.5</v>
      </c>
      <c r="J608" s="3">
        <f>15922/10^2</f>
        <v>159.22</v>
      </c>
      <c r="K608" s="3">
        <f>680772605/10^8</f>
        <v>6.8077260500000003</v>
      </c>
      <c r="L608" s="3">
        <f>100421943/10^8</f>
        <v>1.00421943</v>
      </c>
      <c r="M608" s="3">
        <f>505731797/10^8</f>
        <v>5.0573179699999997</v>
      </c>
      <c r="N608" s="5"/>
    </row>
    <row r="609" spans="1:14" x14ac:dyDescent="0.3">
      <c r="A609" s="7">
        <v>44633.322916666664</v>
      </c>
      <c r="B609" s="7">
        <v>44633.333333333336</v>
      </c>
      <c r="C609" s="3">
        <f>71237/10^3</f>
        <v>71.236999999999995</v>
      </c>
      <c r="D609" s="3">
        <f>6303884/10^5</f>
        <v>63.03884</v>
      </c>
      <c r="E609" s="3"/>
      <c r="F609" s="3"/>
      <c r="G609" s="3">
        <f>819816/10^5</f>
        <v>8.1981599999999997</v>
      </c>
      <c r="H609" s="3">
        <f>2732140968/10^7</f>
        <v>273.21409679999999</v>
      </c>
      <c r="I609" s="3">
        <f>2705/10^1</f>
        <v>270.5</v>
      </c>
      <c r="J609" s="3">
        <f>15922/10^2</f>
        <v>159.22</v>
      </c>
      <c r="K609" s="3">
        <f>690387403/10^8</f>
        <v>6.9038740299999999</v>
      </c>
      <c r="L609" s="3">
        <f>97975442/10^8</f>
        <v>0.97975442000000001</v>
      </c>
      <c r="M609" s="3">
        <f>584323187/10^8</f>
        <v>5.8432318700000003</v>
      </c>
      <c r="N609" s="5"/>
    </row>
    <row r="610" spans="1:14" x14ac:dyDescent="0.3">
      <c r="A610" s="7">
        <v>44633.333333333336</v>
      </c>
      <c r="B610" s="7">
        <v>44633.34375</v>
      </c>
      <c r="C610" s="3">
        <f>13011938/10^5</f>
        <v>130.11938000000001</v>
      </c>
      <c r="D610" s="3">
        <f>4281955/10^5</f>
        <v>42.81955</v>
      </c>
      <c r="E610" s="3"/>
      <c r="F610" s="3"/>
      <c r="G610" s="3">
        <f>8729983/10^5</f>
        <v>87.29983</v>
      </c>
      <c r="H610" s="3">
        <f>2743698711/10^7</f>
        <v>274.36987110000001</v>
      </c>
      <c r="I610" s="3">
        <f>2705/10^1</f>
        <v>270.5</v>
      </c>
      <c r="J610" s="3">
        <f>172/10^0</f>
        <v>172</v>
      </c>
      <c r="K610" s="3">
        <f>647354222/10^8</f>
        <v>6.4735422199999997</v>
      </c>
      <c r="L610" s="3">
        <f>50173428/10^8</f>
        <v>0.50173427999999998</v>
      </c>
      <c r="M610" s="3">
        <f>245550915/10^8</f>
        <v>2.4555091500000001</v>
      </c>
      <c r="N610" s="5"/>
    </row>
    <row r="611" spans="1:14" x14ac:dyDescent="0.3">
      <c r="A611" s="7">
        <v>44633.34375</v>
      </c>
      <c r="B611" s="7">
        <v>44633.354166666664</v>
      </c>
      <c r="C611" s="3">
        <f>12506034/10^5</f>
        <v>125.06034</v>
      </c>
      <c r="D611" s="3">
        <f>4043253/10^5</f>
        <v>40.43253</v>
      </c>
      <c r="E611" s="3"/>
      <c r="F611" s="3"/>
      <c r="G611" s="3">
        <f>8462781/10^5</f>
        <v>84.627809999999997</v>
      </c>
      <c r="H611" s="3">
        <f>2741872001/10^7</f>
        <v>274.18720009999998</v>
      </c>
      <c r="I611" s="3">
        <f>2706/10^1</f>
        <v>270.60000000000002</v>
      </c>
      <c r="J611" s="3">
        <f>172/10^0</f>
        <v>172</v>
      </c>
      <c r="K611" s="3">
        <f>62863109/10^7</f>
        <v>6.2863109000000001</v>
      </c>
      <c r="L611" s="3">
        <f>49225007/10^8</f>
        <v>0.49225006999999998</v>
      </c>
      <c r="M611" s="3">
        <f>324067259/10^8</f>
        <v>3.24067259</v>
      </c>
      <c r="N611" s="5"/>
    </row>
    <row r="612" spans="1:14" x14ac:dyDescent="0.3">
      <c r="A612" s="7">
        <v>44633.354166666664</v>
      </c>
      <c r="B612" s="7">
        <v>44633.364583333336</v>
      </c>
      <c r="C612" s="3">
        <f>10162826/10^5</f>
        <v>101.62826</v>
      </c>
      <c r="D612" s="3">
        <f>3943413/10^5</f>
        <v>39.434130000000003</v>
      </c>
      <c r="E612" s="3"/>
      <c r="F612" s="3"/>
      <c r="G612" s="3">
        <f>6219413/10^5</f>
        <v>62.194130000000001</v>
      </c>
      <c r="H612" s="3">
        <f>2732712387/10^7</f>
        <v>273.27123870000003</v>
      </c>
      <c r="I612" s="3">
        <f>2705/10^1</f>
        <v>270.5</v>
      </c>
      <c r="J612" s="3">
        <f>172/10^0</f>
        <v>172</v>
      </c>
      <c r="K612" s="3">
        <f>617112518/10^8</f>
        <v>6.1711251799999998</v>
      </c>
      <c r="L612" s="3">
        <f>52022622/10^8</f>
        <v>0.52022621999999996</v>
      </c>
      <c r="M612" s="3">
        <f>268918598/10^8</f>
        <v>2.68918598</v>
      </c>
      <c r="N612" s="5"/>
    </row>
    <row r="613" spans="1:14" x14ac:dyDescent="0.3">
      <c r="A613" s="7">
        <v>44633.364583333336</v>
      </c>
      <c r="B613" s="7">
        <v>44633.375</v>
      </c>
      <c r="C613" s="3">
        <f>11225939/10^5</f>
        <v>112.25939</v>
      </c>
      <c r="D613" s="3">
        <f>3694627/10^5</f>
        <v>36.946269999999998</v>
      </c>
      <c r="E613" s="3"/>
      <c r="F613" s="3"/>
      <c r="G613" s="3">
        <f>7531312/10^5</f>
        <v>75.313119999999998</v>
      </c>
      <c r="H613" s="3">
        <f>2753179274/10^7</f>
        <v>275.31792739999997</v>
      </c>
      <c r="I613" s="3">
        <f>2705/10^1</f>
        <v>270.5</v>
      </c>
      <c r="J613" s="3">
        <f>172/10^0</f>
        <v>172</v>
      </c>
      <c r="K613" s="3">
        <f>626115911/10^8</f>
        <v>6.2611591100000004</v>
      </c>
      <c r="L613" s="3">
        <f>50460392/10^8</f>
        <v>0.50460391999999998</v>
      </c>
      <c r="M613" s="3">
        <f>233390996/10^8</f>
        <v>2.3339099600000002</v>
      </c>
      <c r="N613" s="5"/>
    </row>
    <row r="614" spans="1:14" x14ac:dyDescent="0.3">
      <c r="A614" s="7">
        <v>44633.375</v>
      </c>
      <c r="B614" s="7">
        <v>44633.385416666664</v>
      </c>
      <c r="C614" s="3">
        <f>9296775/10^5</f>
        <v>92.967749999999995</v>
      </c>
      <c r="D614" s="3">
        <f>3412181/10^5</f>
        <v>34.121810000000004</v>
      </c>
      <c r="E614" s="3"/>
      <c r="F614" s="3"/>
      <c r="G614" s="3">
        <f>5884594/10^5</f>
        <v>58.845939999999999</v>
      </c>
      <c r="H614" s="3">
        <f>2766968533/10^7</f>
        <v>276.69685329999999</v>
      </c>
      <c r="I614" s="3">
        <f t="shared" ref="I614:I622" si="35">2703/10^1</f>
        <v>270.3</v>
      </c>
      <c r="J614" s="3">
        <f>172/10^0</f>
        <v>172</v>
      </c>
      <c r="K614" s="3">
        <f>590939454/10^8</f>
        <v>5.9093945400000001</v>
      </c>
      <c r="L614" s="3">
        <f>62199404/10^8</f>
        <v>0.62199404000000003</v>
      </c>
      <c r="M614" s="3">
        <f>409866954/10^8</f>
        <v>4.0986695400000004</v>
      </c>
      <c r="N614" s="5"/>
    </row>
    <row r="615" spans="1:14" x14ac:dyDescent="0.3">
      <c r="A615" s="7">
        <v>44633.385416666664</v>
      </c>
      <c r="B615" s="7">
        <v>44633.395833333336</v>
      </c>
      <c r="C615" s="3">
        <f>6570898/10^5</f>
        <v>65.708979999999997</v>
      </c>
      <c r="D615" s="3">
        <f>4792947/10^5</f>
        <v>47.929470000000002</v>
      </c>
      <c r="E615" s="3"/>
      <c r="F615" s="3"/>
      <c r="G615" s="3">
        <f>1777951/10^5</f>
        <v>17.779509999999998</v>
      </c>
      <c r="H615" s="3">
        <f>2760064394/10^7</f>
        <v>276.00643939999998</v>
      </c>
      <c r="I615" s="3">
        <f t="shared" si="35"/>
        <v>270.3</v>
      </c>
      <c r="J615" s="3">
        <f>0/10^0</f>
        <v>0</v>
      </c>
      <c r="K615" s="3">
        <f>573059823/10^8</f>
        <v>5.73059823</v>
      </c>
      <c r="L615" s="3">
        <f>63994915/10^8</f>
        <v>0.63994914999999997</v>
      </c>
      <c r="M615" s="3">
        <f>773070516/10^8</f>
        <v>7.7307051600000003</v>
      </c>
      <c r="N615" s="5"/>
    </row>
    <row r="616" spans="1:14" x14ac:dyDescent="0.3">
      <c r="A616" s="7">
        <v>44633.395833333336</v>
      </c>
      <c r="B616" s="7">
        <v>44633.40625</v>
      </c>
      <c r="C616" s="3">
        <f>7541164/10^5</f>
        <v>75.411640000000006</v>
      </c>
      <c r="D616" s="3">
        <f>5264673/10^5</f>
        <v>52.646729999999998</v>
      </c>
      <c r="E616" s="3"/>
      <c r="F616" s="3"/>
      <c r="G616" s="3">
        <f>2276491/10^5</f>
        <v>22.76491</v>
      </c>
      <c r="H616" s="3">
        <f>2768026129/10^7</f>
        <v>276.80261289999999</v>
      </c>
      <c r="I616" s="3">
        <f t="shared" si="35"/>
        <v>270.3</v>
      </c>
      <c r="J616" s="3">
        <f>15922/10^2</f>
        <v>159.22</v>
      </c>
      <c r="K616" s="3">
        <f>568744622/10^8</f>
        <v>5.68744622</v>
      </c>
      <c r="L616" s="3">
        <f>7065904/10^7</f>
        <v>0.70659039999999995</v>
      </c>
      <c r="M616" s="3">
        <f>323958726/10^8</f>
        <v>3.23958726</v>
      </c>
      <c r="N616" s="5"/>
    </row>
    <row r="617" spans="1:14" x14ac:dyDescent="0.3">
      <c r="A617" s="7">
        <v>44633.40625</v>
      </c>
      <c r="B617" s="7">
        <v>44633.416666666664</v>
      </c>
      <c r="C617" s="3">
        <f>6750377/10^5</f>
        <v>67.503770000000003</v>
      </c>
      <c r="D617" s="3">
        <f>4329268/10^5</f>
        <v>43.292679999999997</v>
      </c>
      <c r="E617" s="3"/>
      <c r="F617" s="3"/>
      <c r="G617" s="3">
        <f>2421109/10^5</f>
        <v>24.211089999999999</v>
      </c>
      <c r="H617" s="3">
        <f>2765793431/10^7</f>
        <v>276.57934310000002</v>
      </c>
      <c r="I617" s="3">
        <f t="shared" si="35"/>
        <v>270.3</v>
      </c>
      <c r="J617" s="3">
        <f>172/10^0</f>
        <v>172</v>
      </c>
      <c r="K617" s="3">
        <f>579782105/10^8</f>
        <v>5.7978210499999996</v>
      </c>
      <c r="L617" s="3">
        <f>69501675/10^8</f>
        <v>0.69501674999999996</v>
      </c>
      <c r="M617" s="3">
        <f>14374873/10^7</f>
        <v>1.4374872999999999</v>
      </c>
      <c r="N617" s="5"/>
    </row>
    <row r="618" spans="1:14" x14ac:dyDescent="0.3">
      <c r="A618" s="7">
        <v>44633.416666666664</v>
      </c>
      <c r="B618" s="7">
        <v>44633.427083333336</v>
      </c>
      <c r="C618" s="3">
        <f>7431861/10^5</f>
        <v>74.318610000000007</v>
      </c>
      <c r="D618" s="3">
        <f>8868232/10^5</f>
        <v>88.682320000000004</v>
      </c>
      <c r="E618" s="3"/>
      <c r="F618" s="3"/>
      <c r="G618" s="3">
        <f>-1436371/10^5</f>
        <v>-14.363709999999999</v>
      </c>
      <c r="H618" s="3">
        <f>1592199232/10^7</f>
        <v>159.21992320000001</v>
      </c>
      <c r="I618" s="3">
        <f t="shared" si="35"/>
        <v>270.3</v>
      </c>
      <c r="J618" s="3">
        <f>15922/10^2</f>
        <v>159.22</v>
      </c>
      <c r="K618" s="3">
        <f>605050835/10^8</f>
        <v>6.0505083500000003</v>
      </c>
      <c r="L618" s="3">
        <f>75522512/10^8</f>
        <v>0.75522511999999997</v>
      </c>
      <c r="M618" s="3">
        <f>577163565/10^8</f>
        <v>5.7716356500000003</v>
      </c>
      <c r="N618" s="5"/>
    </row>
    <row r="619" spans="1:14" x14ac:dyDescent="0.3">
      <c r="A619" s="7">
        <v>44633.427083333336</v>
      </c>
      <c r="B619" s="7">
        <v>44633.4375</v>
      </c>
      <c r="C619" s="3">
        <f>739041/10^4</f>
        <v>73.9041</v>
      </c>
      <c r="D619" s="3">
        <f>7212385/10^5</f>
        <v>72.123850000000004</v>
      </c>
      <c r="E619" s="3"/>
      <c r="F619" s="3"/>
      <c r="G619" s="3">
        <f>178025/10^5</f>
        <v>1.7802500000000001</v>
      </c>
      <c r="H619" s="3">
        <f>2776152248/10^7</f>
        <v>277.61522480000002</v>
      </c>
      <c r="I619" s="3">
        <f t="shared" si="35"/>
        <v>270.3</v>
      </c>
      <c r="J619" s="3">
        <f>15922/10^2</f>
        <v>159.22</v>
      </c>
      <c r="K619" s="3">
        <f>625315998/10^8</f>
        <v>6.2531599800000004</v>
      </c>
      <c r="L619" s="3">
        <f>74531184/10^8</f>
        <v>0.74531183999999995</v>
      </c>
      <c r="M619" s="3">
        <f>470476774/10^8</f>
        <v>4.7047677400000003</v>
      </c>
      <c r="N619" s="5"/>
    </row>
    <row r="620" spans="1:14" x14ac:dyDescent="0.3">
      <c r="A620" s="7">
        <v>44633.4375</v>
      </c>
      <c r="B620" s="7">
        <v>44633.447916666664</v>
      </c>
      <c r="C620" s="3">
        <f>9587522/10^5</f>
        <v>95.875219999999999</v>
      </c>
      <c r="D620" s="3">
        <f>7788679/10^5</f>
        <v>77.886790000000005</v>
      </c>
      <c r="E620" s="3"/>
      <c r="F620" s="3"/>
      <c r="G620" s="3">
        <f>1798843/10^5</f>
        <v>17.988430000000001</v>
      </c>
      <c r="H620" s="3">
        <f>2786249462/10^7</f>
        <v>278.62494620000001</v>
      </c>
      <c r="I620" s="3">
        <f t="shared" si="35"/>
        <v>270.3</v>
      </c>
      <c r="J620" s="3">
        <f>15922/10^2</f>
        <v>159.22</v>
      </c>
      <c r="K620" s="3">
        <f>614003341/10^8</f>
        <v>6.14003341</v>
      </c>
      <c r="L620" s="3">
        <f>72669887/10^8</f>
        <v>0.72669887</v>
      </c>
      <c r="M620" s="3">
        <f>517449646/10^8</f>
        <v>5.1744964600000003</v>
      </c>
      <c r="N620" s="5"/>
    </row>
    <row r="621" spans="1:14" x14ac:dyDescent="0.3">
      <c r="A621" s="7">
        <v>44633.447916666664</v>
      </c>
      <c r="B621" s="7">
        <v>44633.458333333336</v>
      </c>
      <c r="C621" s="3">
        <f>13796809/10^5</f>
        <v>137.96808999999999</v>
      </c>
      <c r="D621" s="3">
        <f>4641482/10^5</f>
        <v>46.414819999999999</v>
      </c>
      <c r="E621" s="3"/>
      <c r="F621" s="3"/>
      <c r="G621" s="3">
        <f>9155327/10^5</f>
        <v>91.553269999999998</v>
      </c>
      <c r="H621" s="3">
        <f>2786581991/10^7</f>
        <v>278.65819909999999</v>
      </c>
      <c r="I621" s="3">
        <f t="shared" si="35"/>
        <v>270.3</v>
      </c>
      <c r="J621" s="3">
        <f>15922/10^2</f>
        <v>159.22</v>
      </c>
      <c r="K621" s="3">
        <f>667307223/10^8</f>
        <v>6.6730722299999998</v>
      </c>
      <c r="L621" s="3">
        <f>75113638/10^8</f>
        <v>0.75113638000000005</v>
      </c>
      <c r="M621" s="3">
        <f>282140098/10^8</f>
        <v>2.8214009799999999</v>
      </c>
      <c r="N621" s="5"/>
    </row>
    <row r="622" spans="1:14" x14ac:dyDescent="0.3">
      <c r="A622" s="7">
        <v>44633.458333333336</v>
      </c>
      <c r="B622" s="7">
        <v>44633.46875</v>
      </c>
      <c r="C622" s="3">
        <f>9122064/10^5</f>
        <v>91.220640000000003</v>
      </c>
      <c r="D622" s="3">
        <f>2446534/10^5</f>
        <v>24.465340000000001</v>
      </c>
      <c r="E622" s="3"/>
      <c r="F622" s="3"/>
      <c r="G622" s="3">
        <f>667553/10^4</f>
        <v>66.755300000000005</v>
      </c>
      <c r="H622" s="3">
        <f>2814502089/10^7</f>
        <v>281.45020890000001</v>
      </c>
      <c r="I622" s="3">
        <f t="shared" si="35"/>
        <v>270.3</v>
      </c>
      <c r="J622" s="3">
        <f>172/10^0</f>
        <v>172</v>
      </c>
      <c r="K622" s="3">
        <f>666191939/10^8</f>
        <v>6.6619193900000004</v>
      </c>
      <c r="L622" s="3">
        <f>156804652/10^8</f>
        <v>1.56804652</v>
      </c>
      <c r="M622" s="3">
        <f>181314672/10^8</f>
        <v>1.81314672</v>
      </c>
      <c r="N622" s="5"/>
    </row>
    <row r="623" spans="1:14" x14ac:dyDescent="0.3">
      <c r="A623" s="7">
        <v>44633.46875</v>
      </c>
      <c r="B623" s="7">
        <v>44633.479166666664</v>
      </c>
      <c r="C623" s="3">
        <f>13480903/10^5</f>
        <v>134.80903000000001</v>
      </c>
      <c r="D623" s="3">
        <f>5171318/10^5</f>
        <v>51.713180000000001</v>
      </c>
      <c r="E623" s="3"/>
      <c r="F623" s="3"/>
      <c r="G623" s="3">
        <f>8309585/10^5</f>
        <v>83.095849999999999</v>
      </c>
      <c r="H623" s="3">
        <f>2807309558/10^7</f>
        <v>280.7309558</v>
      </c>
      <c r="I623" s="3">
        <f>2704/10^1</f>
        <v>270.39999999999998</v>
      </c>
      <c r="J623" s="3">
        <f>167/10^0</f>
        <v>167</v>
      </c>
      <c r="K623" s="3">
        <f>67886188/10^7</f>
        <v>6.7886188000000001</v>
      </c>
      <c r="L623" s="3">
        <f>155278471/10^8</f>
        <v>1.5527847100000001</v>
      </c>
      <c r="M623" s="3">
        <f>374666339/10^8</f>
        <v>3.7466633900000001</v>
      </c>
      <c r="N623" s="5"/>
    </row>
    <row r="624" spans="1:14" x14ac:dyDescent="0.3">
      <c r="A624" s="7">
        <v>44633.479166666664</v>
      </c>
      <c r="B624" s="7">
        <v>44633.489583333336</v>
      </c>
      <c r="C624" s="3">
        <f>12174226/10^5</f>
        <v>121.74226</v>
      </c>
      <c r="D624" s="3">
        <f>3799257/10^5</f>
        <v>37.992570000000001</v>
      </c>
      <c r="E624" s="3"/>
      <c r="F624" s="3"/>
      <c r="G624" s="3">
        <f>8374969/10^5</f>
        <v>83.749690000000001</v>
      </c>
      <c r="H624" s="3">
        <f>2794623916/10^7</f>
        <v>279.46239159999999</v>
      </c>
      <c r="I624" s="3">
        <f>2707/10^1</f>
        <v>270.7</v>
      </c>
      <c r="J624" s="3">
        <f>172/10^0</f>
        <v>172</v>
      </c>
      <c r="K624" s="3">
        <f>660841584/10^8</f>
        <v>6.6084158400000002</v>
      </c>
      <c r="L624" s="3">
        <f>138230352/10^8</f>
        <v>1.38230352</v>
      </c>
      <c r="M624" s="3">
        <f>240183202/10^8</f>
        <v>2.4018320200000001</v>
      </c>
      <c r="N624" s="5"/>
    </row>
    <row r="625" spans="1:14" x14ac:dyDescent="0.3">
      <c r="A625" s="7">
        <v>44633.489583333336</v>
      </c>
      <c r="B625" s="7">
        <v>44633.5</v>
      </c>
      <c r="C625" s="3">
        <f>12422511/10^5</f>
        <v>124.22511</v>
      </c>
      <c r="D625" s="3">
        <f>4892725/10^5</f>
        <v>48.927250000000001</v>
      </c>
      <c r="E625" s="3"/>
      <c r="F625" s="3"/>
      <c r="G625" s="3">
        <f>7529786/10^5</f>
        <v>75.29786</v>
      </c>
      <c r="H625" s="3">
        <f>2798210714/10^7</f>
        <v>279.82107139999999</v>
      </c>
      <c r="I625" s="3">
        <f>2707/10^1</f>
        <v>270.7</v>
      </c>
      <c r="J625" s="3">
        <f>167/10^0</f>
        <v>167</v>
      </c>
      <c r="K625" s="3">
        <f>672564856/10^8</f>
        <v>6.7256485599999998</v>
      </c>
      <c r="L625" s="3">
        <f>138462275/10^8</f>
        <v>1.3846227499999999</v>
      </c>
      <c r="M625" s="3">
        <f>290067496/10^8</f>
        <v>2.9006749599999999</v>
      </c>
      <c r="N625" s="5"/>
    </row>
    <row r="626" spans="1:14" x14ac:dyDescent="0.3">
      <c r="A626" s="7">
        <v>44633.5</v>
      </c>
      <c r="B626" s="7">
        <v>44633.510416666664</v>
      </c>
      <c r="C626" s="3">
        <f>10114136/10^5</f>
        <v>101.14136000000001</v>
      </c>
      <c r="D626" s="3">
        <f>4096865/10^5</f>
        <v>40.968649999999997</v>
      </c>
      <c r="E626" s="3"/>
      <c r="F626" s="3"/>
      <c r="G626" s="3">
        <f>6017271/10^5</f>
        <v>60.172710000000002</v>
      </c>
      <c r="H626" s="3">
        <f>2774062258/10^7</f>
        <v>277.40622580000002</v>
      </c>
      <c r="I626" s="3">
        <f>2707/10^1</f>
        <v>270.7</v>
      </c>
      <c r="J626" s="3">
        <f>167/10^0</f>
        <v>167</v>
      </c>
      <c r="K626" s="3">
        <f>651876781/10^8</f>
        <v>6.5187678099999999</v>
      </c>
      <c r="L626" s="3">
        <f>144487102/10^8</f>
        <v>1.4448710199999999</v>
      </c>
      <c r="M626" s="3">
        <f>317082278/10^8</f>
        <v>3.17082278</v>
      </c>
      <c r="N626" s="5"/>
    </row>
    <row r="627" spans="1:14" x14ac:dyDescent="0.3">
      <c r="A627" s="7">
        <v>44633.510416666664</v>
      </c>
      <c r="B627" s="7">
        <v>44633.520833333336</v>
      </c>
      <c r="C627" s="3">
        <f>10959908/10^5</f>
        <v>109.59908</v>
      </c>
      <c r="D627" s="3">
        <f>5227056/10^5</f>
        <v>52.270560000000003</v>
      </c>
      <c r="E627" s="3"/>
      <c r="F627" s="3"/>
      <c r="G627" s="3">
        <f>5732852/10^5</f>
        <v>57.328519999999997</v>
      </c>
      <c r="H627" s="3">
        <f>2748289904/10^7</f>
        <v>274.82899040000001</v>
      </c>
      <c r="I627" s="3">
        <f>2709/10^1</f>
        <v>270.89999999999998</v>
      </c>
      <c r="J627" s="3">
        <f>167/10^0</f>
        <v>167</v>
      </c>
      <c r="K627" s="3">
        <f>638413976/10^8</f>
        <v>6.3841397600000001</v>
      </c>
      <c r="L627" s="3">
        <f>145629487/10^8</f>
        <v>1.45629487</v>
      </c>
      <c r="M627" s="3">
        <f>320699574/10^8</f>
        <v>3.20699574</v>
      </c>
      <c r="N627" s="5"/>
    </row>
    <row r="628" spans="1:14" x14ac:dyDescent="0.3">
      <c r="A628" s="7">
        <v>44633.520833333336</v>
      </c>
      <c r="B628" s="7">
        <v>44633.53125</v>
      </c>
      <c r="C628" s="3">
        <f>9158773/10^5</f>
        <v>91.587729999999993</v>
      </c>
      <c r="D628" s="3">
        <f>5657055/10^5</f>
        <v>56.570549999999997</v>
      </c>
      <c r="E628" s="3"/>
      <c r="F628" s="3"/>
      <c r="G628" s="3">
        <f>3501718/10^5</f>
        <v>35.017180000000003</v>
      </c>
      <c r="H628" s="3">
        <f>2732548996/10^7</f>
        <v>273.25489959999999</v>
      </c>
      <c r="I628" s="3">
        <f>2707/10^1</f>
        <v>270.7</v>
      </c>
      <c r="J628" s="3">
        <f>167/10^0</f>
        <v>167</v>
      </c>
      <c r="K628" s="3">
        <f>65973552/10^7</f>
        <v>6.5973552</v>
      </c>
      <c r="L628" s="3">
        <f>13851668/10^7</f>
        <v>1.3851667999999999</v>
      </c>
      <c r="M628" s="3">
        <f>443461808/10^8</f>
        <v>4.4346180799999999</v>
      </c>
      <c r="N628" s="5"/>
    </row>
    <row r="629" spans="1:14" x14ac:dyDescent="0.3">
      <c r="A629" s="7">
        <v>44633.53125</v>
      </c>
      <c r="B629" s="7">
        <v>44633.541666666664</v>
      </c>
      <c r="C629" s="3">
        <f>985843/10^4</f>
        <v>98.584299999999999</v>
      </c>
      <c r="D629" s="3">
        <f>7660452/10^5</f>
        <v>76.604519999999994</v>
      </c>
      <c r="E629" s="3"/>
      <c r="F629" s="3"/>
      <c r="G629" s="3">
        <f>2197978/10^5</f>
        <v>21.979780000000002</v>
      </c>
      <c r="H629" s="3">
        <f>2750014659/10^7</f>
        <v>275.00146590000003</v>
      </c>
      <c r="I629" s="3">
        <f>2707/10^1</f>
        <v>270.7</v>
      </c>
      <c r="J629" s="3">
        <f>15922/10^2</f>
        <v>159.22</v>
      </c>
      <c r="K629" s="3">
        <f>657433943/10^8</f>
        <v>6.5743394300000002</v>
      </c>
      <c r="L629" s="3">
        <f>131489179/10^8</f>
        <v>1.3148917899999999</v>
      </c>
      <c r="M629" s="3">
        <f>501428284/10^8</f>
        <v>5.0142828399999999</v>
      </c>
      <c r="N629" s="5"/>
    </row>
    <row r="630" spans="1:14" x14ac:dyDescent="0.3">
      <c r="A630" s="7">
        <v>44633.541666666664</v>
      </c>
      <c r="B630" s="7">
        <v>44633.552083333336</v>
      </c>
      <c r="C630" s="3">
        <f>11039624/10^5</f>
        <v>110.39624000000001</v>
      </c>
      <c r="D630" s="3">
        <f>6061661/10^5</f>
        <v>60.616610000000001</v>
      </c>
      <c r="E630" s="3"/>
      <c r="F630" s="3"/>
      <c r="G630" s="3">
        <f>4977963/10^5</f>
        <v>49.779629999999997</v>
      </c>
      <c r="H630" s="3">
        <f>2797749557/10^7</f>
        <v>279.77495570000002</v>
      </c>
      <c r="I630" s="3">
        <f>279/10^0</f>
        <v>279</v>
      </c>
      <c r="J630" s="3">
        <f>167/10^0</f>
        <v>167</v>
      </c>
      <c r="K630" s="3">
        <f>679701983/10^8</f>
        <v>6.79701983</v>
      </c>
      <c r="L630" s="3">
        <f>94278771/10^8</f>
        <v>0.94278770999999995</v>
      </c>
      <c r="M630" s="3">
        <f>427739602/10^8</f>
        <v>4.2773960200000003</v>
      </c>
      <c r="N630" s="5"/>
    </row>
    <row r="631" spans="1:14" x14ac:dyDescent="0.3">
      <c r="A631" s="7">
        <v>44633.552083333336</v>
      </c>
      <c r="B631" s="7">
        <v>44633.5625</v>
      </c>
      <c r="C631" s="3">
        <f>7868743/10^5</f>
        <v>78.687430000000006</v>
      </c>
      <c r="D631" s="3">
        <f>6498091/10^5</f>
        <v>64.980909999999994</v>
      </c>
      <c r="E631" s="3"/>
      <c r="F631" s="3"/>
      <c r="G631" s="3">
        <f>1370652/10^5</f>
        <v>13.706519999999999</v>
      </c>
      <c r="H631" s="3">
        <f>2796702844/10^7</f>
        <v>279.67028440000001</v>
      </c>
      <c r="I631" s="3">
        <f>279/10^0</f>
        <v>279</v>
      </c>
      <c r="J631" s="3">
        <f>15922/10^2</f>
        <v>159.22</v>
      </c>
      <c r="K631" s="3">
        <f>659310015/10^8</f>
        <v>6.5931001499999997</v>
      </c>
      <c r="L631" s="3">
        <f>92501321/10^8</f>
        <v>0.92501321000000003</v>
      </c>
      <c r="M631" s="3">
        <f>509219656/10^8</f>
        <v>5.0921965599999996</v>
      </c>
      <c r="N631" s="5"/>
    </row>
    <row r="632" spans="1:14" x14ac:dyDescent="0.3">
      <c r="A632" s="7">
        <v>44633.5625</v>
      </c>
      <c r="B632" s="7">
        <v>44633.572916666664</v>
      </c>
      <c r="C632" s="3">
        <f>9665091/10^5</f>
        <v>96.650909999999996</v>
      </c>
      <c r="D632" s="3">
        <f>808636/10^4</f>
        <v>80.863600000000005</v>
      </c>
      <c r="E632" s="3"/>
      <c r="F632" s="3"/>
      <c r="G632" s="3">
        <f>1578731/10^5</f>
        <v>15.78731</v>
      </c>
      <c r="H632" s="3">
        <f>2792586016/10^7</f>
        <v>279.25860160000002</v>
      </c>
      <c r="I632" s="3">
        <f>279/10^0</f>
        <v>279</v>
      </c>
      <c r="J632" s="3">
        <f>167/10^0</f>
        <v>167</v>
      </c>
      <c r="K632" s="3">
        <f>685914351/10^8</f>
        <v>6.85914351</v>
      </c>
      <c r="L632" s="3">
        <f>107517095/10^8</f>
        <v>1.07517095</v>
      </c>
      <c r="M632" s="3">
        <f>533293482/10^8</f>
        <v>5.3329348200000002</v>
      </c>
      <c r="N632" s="5"/>
    </row>
    <row r="633" spans="1:14" x14ac:dyDescent="0.3">
      <c r="A633" s="7">
        <v>44633.572916666664</v>
      </c>
      <c r="B633" s="7">
        <v>44633.583333333336</v>
      </c>
      <c r="C633" s="3">
        <f>10637358/10^5</f>
        <v>106.37358</v>
      </c>
      <c r="D633" s="3">
        <f>7941772/10^5</f>
        <v>79.417720000000003</v>
      </c>
      <c r="E633" s="3"/>
      <c r="F633" s="3"/>
      <c r="G633" s="3">
        <f>2695586/10^5</f>
        <v>26.955860000000001</v>
      </c>
      <c r="H633" s="3">
        <f>2792821238/10^7</f>
        <v>279.28212380000002</v>
      </c>
      <c r="I633" s="3">
        <f>279/10^0</f>
        <v>279</v>
      </c>
      <c r="J633" s="3">
        <f>167/10^0</f>
        <v>167</v>
      </c>
      <c r="K633" s="3">
        <f>713309596/10^8</f>
        <v>7.1330959600000003</v>
      </c>
      <c r="L633" s="3">
        <f>106078774/10^8</f>
        <v>1.0607877400000001</v>
      </c>
      <c r="M633" s="3">
        <f>522855149/10^8</f>
        <v>5.2285514900000001</v>
      </c>
      <c r="N633" s="5"/>
    </row>
    <row r="634" spans="1:14" x14ac:dyDescent="0.3">
      <c r="A634" s="7">
        <v>44633.583333333336</v>
      </c>
      <c r="B634" s="7">
        <v>44633.59375</v>
      </c>
      <c r="C634" s="3">
        <f>11620429/10^5</f>
        <v>116.20429</v>
      </c>
      <c r="D634" s="3">
        <f>11702682/10^5</f>
        <v>117.02682</v>
      </c>
      <c r="E634" s="3"/>
      <c r="F634" s="3"/>
      <c r="G634" s="3">
        <f>-82253/10^5</f>
        <v>-0.82252999999999998</v>
      </c>
      <c r="H634" s="3">
        <f>1592085539/10^7</f>
        <v>159.2085539</v>
      </c>
      <c r="I634" s="3">
        <f t="shared" ref="I634:I641" si="36">28289/10^2</f>
        <v>282.89</v>
      </c>
      <c r="J634" s="3">
        <f>15922/10^2</f>
        <v>159.22</v>
      </c>
      <c r="K634" s="3">
        <f>638261722/10^8</f>
        <v>6.3826172200000002</v>
      </c>
      <c r="L634" s="3">
        <f>7511475/10^7</f>
        <v>0.75114749999999997</v>
      </c>
      <c r="M634" s="3">
        <f>915362487/10^8</f>
        <v>9.1536248699999998</v>
      </c>
      <c r="N634" s="5"/>
    </row>
    <row r="635" spans="1:14" x14ac:dyDescent="0.3">
      <c r="A635" s="7">
        <v>44633.59375</v>
      </c>
      <c r="B635" s="7">
        <v>44633.604166666664</v>
      </c>
      <c r="C635" s="3">
        <f>10185015/10^5</f>
        <v>101.85015</v>
      </c>
      <c r="D635" s="3">
        <f>6181672/10^5</f>
        <v>61.816719999999997</v>
      </c>
      <c r="E635" s="3"/>
      <c r="F635" s="3"/>
      <c r="G635" s="3">
        <f>4003343/10^5</f>
        <v>40.033430000000003</v>
      </c>
      <c r="H635" s="3">
        <f>2828919809/10^7</f>
        <v>282.89198090000002</v>
      </c>
      <c r="I635" s="3">
        <f t="shared" si="36"/>
        <v>282.89</v>
      </c>
      <c r="J635" s="3">
        <f>172/10^0</f>
        <v>172</v>
      </c>
      <c r="K635" s="3">
        <f>720176976/10^8</f>
        <v>7.2017697600000004</v>
      </c>
      <c r="L635" s="3">
        <f>75786755/10^8</f>
        <v>0.75786754999999995</v>
      </c>
      <c r="M635" s="3">
        <f>383252022/10^8</f>
        <v>3.8325202200000001</v>
      </c>
      <c r="N635" s="5"/>
    </row>
    <row r="636" spans="1:14" x14ac:dyDescent="0.3">
      <c r="A636" s="7">
        <v>44633.604166666664</v>
      </c>
      <c r="B636" s="7">
        <v>44633.614583333336</v>
      </c>
      <c r="C636" s="3">
        <f>11005419/10^5</f>
        <v>110.05419000000001</v>
      </c>
      <c r="D636" s="3">
        <f>6350602/10^5</f>
        <v>63.506019999999999</v>
      </c>
      <c r="E636" s="3"/>
      <c r="F636" s="3"/>
      <c r="G636" s="3">
        <f>4654817/10^5</f>
        <v>46.548169999999999</v>
      </c>
      <c r="H636" s="3">
        <f>2833676418/10^7</f>
        <v>283.3676418</v>
      </c>
      <c r="I636" s="3">
        <f t="shared" si="36"/>
        <v>282.89</v>
      </c>
      <c r="J636" s="3">
        <f>167/10^0</f>
        <v>167</v>
      </c>
      <c r="K636" s="3">
        <f>704575837/10^8</f>
        <v>7.0457583699999997</v>
      </c>
      <c r="L636" s="3">
        <f>86110495/10^8</f>
        <v>0.86110494999999998</v>
      </c>
      <c r="M636" s="3">
        <f>488153808/10^8</f>
        <v>4.8815380800000003</v>
      </c>
      <c r="N636" s="5"/>
    </row>
    <row r="637" spans="1:14" x14ac:dyDescent="0.3">
      <c r="A637" s="7">
        <v>44633.614583333336</v>
      </c>
      <c r="B637" s="7">
        <v>44633.625</v>
      </c>
      <c r="C637" s="3">
        <f>13917952/10^5</f>
        <v>139.17952</v>
      </c>
      <c r="D637" s="3">
        <f>43607/10^3</f>
        <v>43.606999999999999</v>
      </c>
      <c r="E637" s="3"/>
      <c r="F637" s="3"/>
      <c r="G637" s="3">
        <f>9557252/10^5</f>
        <v>95.572519999999997</v>
      </c>
      <c r="H637" s="3">
        <f>2829393989/10^7</f>
        <v>282.93939890000001</v>
      </c>
      <c r="I637" s="3">
        <f t="shared" si="36"/>
        <v>282.89</v>
      </c>
      <c r="J637" s="3">
        <f>172/10^0</f>
        <v>172</v>
      </c>
      <c r="K637" s="3">
        <f>696383831/10^8</f>
        <v>6.9638383099999999</v>
      </c>
      <c r="L637" s="3">
        <f>86169031/10^8</f>
        <v>0.86169030999999996</v>
      </c>
      <c r="M637" s="3">
        <f>30254367/10^7</f>
        <v>3.0254367000000002</v>
      </c>
      <c r="N637" s="5"/>
    </row>
    <row r="638" spans="1:14" x14ac:dyDescent="0.3">
      <c r="A638" s="7">
        <v>44633.625</v>
      </c>
      <c r="B638" s="7">
        <v>44633.635416666664</v>
      </c>
      <c r="C638" s="3">
        <f>13889699/10^5</f>
        <v>138.89698999999999</v>
      </c>
      <c r="D638" s="3">
        <f>10510269/10^5</f>
        <v>105.10269</v>
      </c>
      <c r="E638" s="3"/>
      <c r="F638" s="3"/>
      <c r="G638" s="3">
        <f>337943/10^4</f>
        <v>33.7943</v>
      </c>
      <c r="H638" s="3">
        <f>2845940377/10^7</f>
        <v>284.5940377</v>
      </c>
      <c r="I638" s="3">
        <f t="shared" si="36"/>
        <v>282.89</v>
      </c>
      <c r="J638" s="3">
        <f>167/10^0</f>
        <v>167</v>
      </c>
      <c r="K638" s="3">
        <f>75432069/10^7</f>
        <v>7.5432069000000004</v>
      </c>
      <c r="L638" s="3">
        <f>103574243/10^8</f>
        <v>1.03574243</v>
      </c>
      <c r="M638" s="3">
        <f>774350545/10^8</f>
        <v>7.7435054499999998</v>
      </c>
      <c r="N638" s="5"/>
    </row>
    <row r="639" spans="1:14" x14ac:dyDescent="0.3">
      <c r="A639" s="7">
        <v>44633.635416666664</v>
      </c>
      <c r="B639" s="7">
        <v>44633.645833333336</v>
      </c>
      <c r="C639" s="3">
        <f>10467625/10^5</f>
        <v>104.67625</v>
      </c>
      <c r="D639" s="3">
        <f>4893229/10^5</f>
        <v>48.932290000000002</v>
      </c>
      <c r="E639" s="3"/>
      <c r="F639" s="3"/>
      <c r="G639" s="3">
        <f>5574396/10^5</f>
        <v>55.743960000000001</v>
      </c>
      <c r="H639" s="3">
        <f>284905672/10^6</f>
        <v>284.90567199999998</v>
      </c>
      <c r="I639" s="3">
        <f t="shared" si="36"/>
        <v>282.89</v>
      </c>
      <c r="J639" s="3">
        <f>18012/10^2</f>
        <v>180.12</v>
      </c>
      <c r="K639" s="3">
        <f>752807939/10^8</f>
        <v>7.5280793900000003</v>
      </c>
      <c r="L639" s="3">
        <f>105574367/10^8</f>
        <v>1.05574367</v>
      </c>
      <c r="M639" s="3">
        <f>428075115/10^8</f>
        <v>4.2807511500000004</v>
      </c>
      <c r="N639" s="5"/>
    </row>
    <row r="640" spans="1:14" x14ac:dyDescent="0.3">
      <c r="A640" s="7">
        <v>44633.645833333336</v>
      </c>
      <c r="B640" s="7">
        <v>44633.65625</v>
      </c>
      <c r="C640" s="3">
        <f>11839203/10^5</f>
        <v>118.39203000000001</v>
      </c>
      <c r="D640" s="3">
        <f>3442906/10^5</f>
        <v>34.42906</v>
      </c>
      <c r="E640" s="3"/>
      <c r="F640" s="3"/>
      <c r="G640" s="3">
        <f>8396297/10^5</f>
        <v>83.962969999999999</v>
      </c>
      <c r="H640" s="3">
        <f>2853690931/10^7</f>
        <v>285.36909309999999</v>
      </c>
      <c r="I640" s="3">
        <f t="shared" si="36"/>
        <v>282.89</v>
      </c>
      <c r="J640" s="3">
        <f>18013/10^2</f>
        <v>180.13</v>
      </c>
      <c r="K640" s="3">
        <f>749464463/10^8</f>
        <v>7.4946446299999998</v>
      </c>
      <c r="L640" s="3">
        <f>117215017/10^8</f>
        <v>1.1721501700000001</v>
      </c>
      <c r="M640" s="3">
        <f>286052132/10^8</f>
        <v>2.8605213200000001</v>
      </c>
      <c r="N640" s="5"/>
    </row>
    <row r="641" spans="1:14" x14ac:dyDescent="0.3">
      <c r="A641" s="7">
        <v>44633.65625</v>
      </c>
      <c r="B641" s="7">
        <v>44633.666666666664</v>
      </c>
      <c r="C641" s="3">
        <f>14983958/10^5</f>
        <v>149.83958000000001</v>
      </c>
      <c r="D641" s="3">
        <f>1122099/10^5</f>
        <v>11.22099</v>
      </c>
      <c r="E641" s="3"/>
      <c r="F641" s="3"/>
      <c r="G641" s="3">
        <f>13861859/10^5</f>
        <v>138.61859000000001</v>
      </c>
      <c r="H641" s="3">
        <f>2852324959/10^7</f>
        <v>285.2324959</v>
      </c>
      <c r="I641" s="3">
        <f t="shared" si="36"/>
        <v>282.89</v>
      </c>
      <c r="J641" s="3">
        <f>0/10^0</f>
        <v>0</v>
      </c>
      <c r="K641" s="3">
        <f>719783274/10^8</f>
        <v>7.19783274</v>
      </c>
      <c r="L641" s="3">
        <f>112095885/10^8</f>
        <v>1.1209588500000001</v>
      </c>
      <c r="M641" s="3">
        <f>-163387856/10^8</f>
        <v>-1.6338785600000001</v>
      </c>
      <c r="N641" s="5"/>
    </row>
    <row r="642" spans="1:14" x14ac:dyDescent="0.3">
      <c r="A642" s="7">
        <v>44633.666666666664</v>
      </c>
      <c r="B642" s="7">
        <v>44633.677083333336</v>
      </c>
      <c r="C642" s="3">
        <f>9903868/10^5</f>
        <v>99.038679999999999</v>
      </c>
      <c r="D642" s="3">
        <f>7034806/10^5</f>
        <v>70.348060000000004</v>
      </c>
      <c r="E642" s="3"/>
      <c r="F642" s="3"/>
      <c r="G642" s="3">
        <f>2869062/10^5</f>
        <v>28.690619999999999</v>
      </c>
      <c r="H642" s="3">
        <f>293867675/10^6</f>
        <v>293.86767500000002</v>
      </c>
      <c r="I642" s="3">
        <f>28515/10^2</f>
        <v>285.14999999999998</v>
      </c>
      <c r="J642" s="3">
        <f>1851/10^1</f>
        <v>185.1</v>
      </c>
      <c r="K642" s="3">
        <f>763422762/10^8</f>
        <v>7.6342276199999999</v>
      </c>
      <c r="L642" s="3">
        <f>255462958/10^8</f>
        <v>2.5546295799999998</v>
      </c>
      <c r="M642" s="3">
        <f>1283193152/10^8</f>
        <v>12.831931519999999</v>
      </c>
      <c r="N642" s="5"/>
    </row>
    <row r="643" spans="1:14" x14ac:dyDescent="0.3">
      <c r="A643" s="7">
        <v>44633.677083333336</v>
      </c>
      <c r="B643" s="7">
        <v>44633.6875</v>
      </c>
      <c r="C643" s="3">
        <f>9315728/10^5</f>
        <v>93.15728</v>
      </c>
      <c r="D643" s="3">
        <f>552873/10^4</f>
        <v>55.287300000000002</v>
      </c>
      <c r="E643" s="3"/>
      <c r="F643" s="3"/>
      <c r="G643" s="3">
        <f>3786998/10^5</f>
        <v>37.869979999999998</v>
      </c>
      <c r="H643" s="3">
        <f>2975410872/10^7</f>
        <v>297.54108719999999</v>
      </c>
      <c r="I643" s="3">
        <f>28645/10^2</f>
        <v>286.45</v>
      </c>
      <c r="J643" s="3">
        <f>1851/10^1</f>
        <v>185.1</v>
      </c>
      <c r="K643" s="3">
        <f>808921993/10^8</f>
        <v>8.0892199300000005</v>
      </c>
      <c r="L643" s="3">
        <f>25611534/10^7</f>
        <v>2.5611533999999998</v>
      </c>
      <c r="M643" s="3">
        <f>3852302/10^6</f>
        <v>3.8523019999999999</v>
      </c>
      <c r="N643" s="5"/>
    </row>
    <row r="644" spans="1:14" x14ac:dyDescent="0.3">
      <c r="A644" s="7">
        <v>44633.6875</v>
      </c>
      <c r="B644" s="7">
        <v>44633.697916666664</v>
      </c>
      <c r="C644" s="3">
        <f>9469867/10^5</f>
        <v>94.698670000000007</v>
      </c>
      <c r="D644" s="3">
        <f>1276458/10^5</f>
        <v>12.76458</v>
      </c>
      <c r="E644" s="3"/>
      <c r="F644" s="3"/>
      <c r="G644" s="3">
        <f>8193409/10^5</f>
        <v>81.934089999999998</v>
      </c>
      <c r="H644" s="3">
        <f>2869665393/10^7</f>
        <v>286.96653930000002</v>
      </c>
      <c r="I644" s="3">
        <f>28645/10^2</f>
        <v>286.45</v>
      </c>
      <c r="J644" s="3">
        <f>0/10^0</f>
        <v>0</v>
      </c>
      <c r="K644" s="3">
        <f>810693161/10^8</f>
        <v>8.1069316100000002</v>
      </c>
      <c r="L644" s="3">
        <f>187599583/10^8</f>
        <v>1.8759958299999999</v>
      </c>
      <c r="M644" s="3">
        <f>196876461/10^8</f>
        <v>1.96876461</v>
      </c>
      <c r="N644" s="5"/>
    </row>
    <row r="645" spans="1:14" x14ac:dyDescent="0.3">
      <c r="A645" s="7">
        <v>44633.697916666664</v>
      </c>
      <c r="B645" s="7">
        <v>44633.708333333336</v>
      </c>
      <c r="C645" s="3">
        <f>15783141/10^5</f>
        <v>157.83141000000001</v>
      </c>
      <c r="D645" s="3">
        <f>179131/10^5</f>
        <v>1.79131</v>
      </c>
      <c r="E645" s="3"/>
      <c r="F645" s="3"/>
      <c r="G645" s="3">
        <f>1560401/10^4</f>
        <v>156.0401</v>
      </c>
      <c r="H645" s="3">
        <f>2873282143/10^7</f>
        <v>287.32821430000001</v>
      </c>
      <c r="I645" s="3">
        <f>28685/10^2</f>
        <v>286.85000000000002</v>
      </c>
      <c r="J645" s="3">
        <f>0/10^0</f>
        <v>0</v>
      </c>
      <c r="K645" s="3">
        <f>809537297/10^8</f>
        <v>8.0953729699999997</v>
      </c>
      <c r="L645" s="3">
        <f>190022113/10^8</f>
        <v>1.90022113</v>
      </c>
      <c r="M645" s="3">
        <f>89771616/10^8</f>
        <v>0.89771615999999999</v>
      </c>
      <c r="N645" s="5"/>
    </row>
    <row r="646" spans="1:14" x14ac:dyDescent="0.3">
      <c r="A646" s="7">
        <v>44633.708333333336</v>
      </c>
      <c r="B646" s="7">
        <v>44633.71875</v>
      </c>
      <c r="C646" s="3">
        <f>9427343/10^5</f>
        <v>94.273430000000005</v>
      </c>
      <c r="D646" s="3">
        <f>7432859/10^5</f>
        <v>74.328590000000005</v>
      </c>
      <c r="E646" s="3"/>
      <c r="F646" s="3"/>
      <c r="G646" s="3">
        <f>1994484/10^5</f>
        <v>19.944839999999999</v>
      </c>
      <c r="H646" s="3">
        <f>3491833958/10^7</f>
        <v>349.18339580000003</v>
      </c>
      <c r="I646" s="3">
        <f>349/10^0</f>
        <v>349</v>
      </c>
      <c r="J646" s="3">
        <f>0/10^0</f>
        <v>0</v>
      </c>
      <c r="K646" s="3">
        <f>919817393/10^8</f>
        <v>9.1981739299999994</v>
      </c>
      <c r="L646" s="3">
        <f>124329879/10^8</f>
        <v>1.2432987900000001</v>
      </c>
      <c r="M646" s="3">
        <f>473990086/10^8</f>
        <v>4.7399008599999997</v>
      </c>
      <c r="N646" s="5"/>
    </row>
    <row r="647" spans="1:14" x14ac:dyDescent="0.3">
      <c r="A647" s="7">
        <v>44633.71875</v>
      </c>
      <c r="B647" s="7">
        <v>44633.729166666664</v>
      </c>
      <c r="C647" s="3">
        <f>9859721/10^5</f>
        <v>98.597210000000004</v>
      </c>
      <c r="D647" s="3">
        <f>7553656/10^5</f>
        <v>75.536559999999994</v>
      </c>
      <c r="E647" s="3"/>
      <c r="F647" s="3"/>
      <c r="G647" s="3">
        <f>2306065/10^5</f>
        <v>23.060649999999999</v>
      </c>
      <c r="H647" s="3">
        <f>3377947564/10^7</f>
        <v>337.79475639999998</v>
      </c>
      <c r="I647" s="3">
        <f>33639/10^2</f>
        <v>336.39</v>
      </c>
      <c r="J647" s="3">
        <f t="shared" ref="J647:J652" si="37">17698/10^2</f>
        <v>176.98</v>
      </c>
      <c r="K647" s="3">
        <f>911356035/10^8</f>
        <v>9.1135603500000002</v>
      </c>
      <c r="L647" s="3">
        <f>133734559/10^8</f>
        <v>1.33734559</v>
      </c>
      <c r="M647" s="3">
        <f>78578787/10^8</f>
        <v>0.78578787000000005</v>
      </c>
      <c r="N647" s="5"/>
    </row>
    <row r="648" spans="1:14" x14ac:dyDescent="0.3">
      <c r="A648" s="7">
        <v>44633.729166666664</v>
      </c>
      <c r="B648" s="7">
        <v>44633.739583333336</v>
      </c>
      <c r="C648" s="3">
        <f>19186068/10^5</f>
        <v>191.86068</v>
      </c>
      <c r="D648" s="3">
        <f>6035758/10^5</f>
        <v>60.357579999999999</v>
      </c>
      <c r="E648" s="3"/>
      <c r="F648" s="3"/>
      <c r="G648" s="3">
        <f>1315031/10^4</f>
        <v>131.50309999999999</v>
      </c>
      <c r="H648" s="3">
        <f>3388723598/10^7</f>
        <v>338.87235980000003</v>
      </c>
      <c r="I648" s="3">
        <f>33639/10^2</f>
        <v>336.39</v>
      </c>
      <c r="J648" s="3">
        <f t="shared" si="37"/>
        <v>176.98</v>
      </c>
      <c r="K648" s="3">
        <f>94929174/10^7</f>
        <v>9.4929173999999996</v>
      </c>
      <c r="L648" s="3">
        <f>1362122/10^6</f>
        <v>1.3621220000000001</v>
      </c>
      <c r="M648" s="3">
        <f>635133296/10^8</f>
        <v>6.3513329599999997</v>
      </c>
      <c r="N648" s="5"/>
    </row>
    <row r="649" spans="1:14" x14ac:dyDescent="0.3">
      <c r="A649" s="7">
        <v>44633.739583333336</v>
      </c>
      <c r="B649" s="7">
        <v>44633.75</v>
      </c>
      <c r="C649" s="3">
        <f>25220139/10^5</f>
        <v>252.20139</v>
      </c>
      <c r="D649" s="3">
        <f>578819/10^4</f>
        <v>57.881900000000002</v>
      </c>
      <c r="E649" s="3"/>
      <c r="F649" s="3"/>
      <c r="G649" s="3">
        <f>19431949/10^5</f>
        <v>194.31949</v>
      </c>
      <c r="H649" s="3">
        <f t="shared" ref="H649:I661" si="38">1300/10^0</f>
        <v>1300</v>
      </c>
      <c r="I649" s="3">
        <f t="shared" si="38"/>
        <v>1300</v>
      </c>
      <c r="J649" s="3">
        <f t="shared" si="37"/>
        <v>176.98</v>
      </c>
      <c r="K649" s="3">
        <f>1343613867/10^8</f>
        <v>13.43613867</v>
      </c>
      <c r="L649" s="3">
        <f>20215349/10^7</f>
        <v>2.0215348999999998</v>
      </c>
      <c r="M649" s="3">
        <f>1581474844/10^8</f>
        <v>15.814748440000001</v>
      </c>
      <c r="N649" s="5"/>
    </row>
    <row r="650" spans="1:14" x14ac:dyDescent="0.3">
      <c r="A650" s="7">
        <v>44633.75</v>
      </c>
      <c r="B650" s="7">
        <v>44633.760416666664</v>
      </c>
      <c r="C650" s="3">
        <f>25114853/10^5</f>
        <v>251.14852999999999</v>
      </c>
      <c r="D650" s="3">
        <f>5847052/10^5</f>
        <v>58.47052</v>
      </c>
      <c r="E650" s="3"/>
      <c r="F650" s="3"/>
      <c r="G650" s="3">
        <f>19267801/10^5</f>
        <v>192.67801</v>
      </c>
      <c r="H650" s="3">
        <f t="shared" si="38"/>
        <v>1300</v>
      </c>
      <c r="I650" s="3">
        <f t="shared" si="38"/>
        <v>1300</v>
      </c>
      <c r="J650" s="3">
        <f t="shared" si="37"/>
        <v>176.98</v>
      </c>
      <c r="K650" s="3">
        <f>1209098037/10^8</f>
        <v>12.09098037</v>
      </c>
      <c r="L650" s="3">
        <f>220213877/10^8</f>
        <v>2.2021387699999999</v>
      </c>
      <c r="M650" s="3">
        <f>1034656206/10^7</f>
        <v>103.46562059999999</v>
      </c>
      <c r="N650" s="5"/>
    </row>
    <row r="651" spans="1:14" x14ac:dyDescent="0.3">
      <c r="A651" s="7">
        <v>44633.760416666664</v>
      </c>
      <c r="B651" s="7">
        <v>44633.770833333336</v>
      </c>
      <c r="C651" s="3">
        <f>16188678/10^5</f>
        <v>161.88677999999999</v>
      </c>
      <c r="D651" s="3">
        <f>6490926/10^5</f>
        <v>64.909260000000003</v>
      </c>
      <c r="E651" s="3"/>
      <c r="F651" s="3"/>
      <c r="G651" s="3">
        <f>9697752/10^5</f>
        <v>96.977519999999998</v>
      </c>
      <c r="H651" s="3">
        <f t="shared" si="38"/>
        <v>1300</v>
      </c>
      <c r="I651" s="3">
        <f t="shared" si="38"/>
        <v>1300</v>
      </c>
      <c r="J651" s="3">
        <f t="shared" si="37"/>
        <v>176.98</v>
      </c>
      <c r="K651" s="3">
        <f>1178732602/10^8</f>
        <v>11.78732602</v>
      </c>
      <c r="L651" s="3">
        <f>219859809/10^8</f>
        <v>2.1985980899999999</v>
      </c>
      <c r="M651" s="3">
        <f>4201226965/10^8</f>
        <v>42.01226965</v>
      </c>
      <c r="N651" s="5"/>
    </row>
    <row r="652" spans="1:14" x14ac:dyDescent="0.3">
      <c r="A652" s="7">
        <v>44633.770833333336</v>
      </c>
      <c r="B652" s="7">
        <v>44633.78125</v>
      </c>
      <c r="C652" s="3">
        <f>16840129/10^5</f>
        <v>168.40128999999999</v>
      </c>
      <c r="D652" s="3">
        <f>5908984/10^5</f>
        <v>59.089840000000002</v>
      </c>
      <c r="E652" s="3"/>
      <c r="F652" s="3"/>
      <c r="G652" s="3">
        <f>10931145/10^5</f>
        <v>109.31144999999999</v>
      </c>
      <c r="H652" s="3">
        <f t="shared" si="38"/>
        <v>1300</v>
      </c>
      <c r="I652" s="3">
        <f t="shared" si="38"/>
        <v>1300</v>
      </c>
      <c r="J652" s="3">
        <f t="shared" si="37"/>
        <v>176.98</v>
      </c>
      <c r="K652" s="3">
        <f>1230188422/10^8</f>
        <v>12.30188422</v>
      </c>
      <c r="L652" s="3">
        <f>177589426/10^8</f>
        <v>1.7758942600000001</v>
      </c>
      <c r="M652" s="3">
        <f>3847707791/10^8</f>
        <v>38.477077909999998</v>
      </c>
      <c r="N652" s="5"/>
    </row>
    <row r="653" spans="1:14" x14ac:dyDescent="0.3">
      <c r="A653" s="7">
        <v>44633.78125</v>
      </c>
      <c r="B653" s="7">
        <v>44633.791666666664</v>
      </c>
      <c r="C653" s="3">
        <f>16281357/10^5</f>
        <v>162.81357</v>
      </c>
      <c r="D653" s="3">
        <f>277396/10^4</f>
        <v>27.739599999999999</v>
      </c>
      <c r="E653" s="3"/>
      <c r="F653" s="3"/>
      <c r="G653" s="3">
        <f>13507397/10^5</f>
        <v>135.07397</v>
      </c>
      <c r="H653" s="3">
        <f t="shared" si="38"/>
        <v>1300</v>
      </c>
      <c r="I653" s="3">
        <f t="shared" si="38"/>
        <v>1300</v>
      </c>
      <c r="J653" s="3">
        <f>18653/10^2</f>
        <v>186.53</v>
      </c>
      <c r="K653" s="3">
        <f>1185132817/10^8</f>
        <v>11.85132817</v>
      </c>
      <c r="L653" s="3">
        <f>17576376/10^7</f>
        <v>1.7576376</v>
      </c>
      <c r="M653" s="3">
        <f>1681993247/10^8</f>
        <v>16.819932470000001</v>
      </c>
      <c r="N653" s="5"/>
    </row>
    <row r="654" spans="1:14" x14ac:dyDescent="0.3">
      <c r="A654" s="7">
        <v>44633.791666666664</v>
      </c>
      <c r="B654" s="7">
        <v>44633.802083333336</v>
      </c>
      <c r="C654" s="3">
        <f>23976801/10^5</f>
        <v>239.76801</v>
      </c>
      <c r="D654" s="3">
        <f>2496642/10^5</f>
        <v>24.966419999999999</v>
      </c>
      <c r="E654" s="3"/>
      <c r="F654" s="3"/>
      <c r="G654" s="3">
        <f>21480159/10^5</f>
        <v>214.80159</v>
      </c>
      <c r="H654" s="3">
        <f t="shared" si="38"/>
        <v>1300</v>
      </c>
      <c r="I654" s="3">
        <f t="shared" si="38"/>
        <v>1300</v>
      </c>
      <c r="J654" s="3">
        <f t="shared" ref="J654:J661" si="39">27649/10^2</f>
        <v>276.49</v>
      </c>
      <c r="K654" s="3">
        <f>1299753535/10^8</f>
        <v>12.99753535</v>
      </c>
      <c r="L654" s="3">
        <f>274969737/10^8</f>
        <v>2.7496973699999998</v>
      </c>
      <c r="M654" s="3">
        <f>245776658/10^8</f>
        <v>2.4577665799999999</v>
      </c>
      <c r="N654" s="5"/>
    </row>
    <row r="655" spans="1:14" x14ac:dyDescent="0.3">
      <c r="A655" s="7">
        <v>44633.802083333336</v>
      </c>
      <c r="B655" s="7">
        <v>44633.8125</v>
      </c>
      <c r="C655" s="3">
        <f>21055275/10^5</f>
        <v>210.55275</v>
      </c>
      <c r="D655" s="3">
        <f>2664478/10^5</f>
        <v>26.644780000000001</v>
      </c>
      <c r="E655" s="3"/>
      <c r="F655" s="3"/>
      <c r="G655" s="3">
        <f>18390797/10^5</f>
        <v>183.90797000000001</v>
      </c>
      <c r="H655" s="3">
        <f t="shared" si="38"/>
        <v>1300</v>
      </c>
      <c r="I655" s="3">
        <f t="shared" si="38"/>
        <v>1300</v>
      </c>
      <c r="J655" s="3">
        <f t="shared" si="39"/>
        <v>276.49</v>
      </c>
      <c r="K655" s="3">
        <f>1484068392/10^8</f>
        <v>14.84068392</v>
      </c>
      <c r="L655" s="3">
        <f>276143592/10^8</f>
        <v>2.7614359199999998</v>
      </c>
      <c r="M655" s="3">
        <f>1496271024/10^8</f>
        <v>14.96271024</v>
      </c>
      <c r="N655" s="5"/>
    </row>
    <row r="656" spans="1:14" x14ac:dyDescent="0.3">
      <c r="A656" s="7">
        <v>44633.8125</v>
      </c>
      <c r="B656" s="7">
        <v>44633.822916666664</v>
      </c>
      <c r="C656" s="3">
        <f>2064041/10^4</f>
        <v>206.4041</v>
      </c>
      <c r="D656" s="3">
        <f>3386666/10^5</f>
        <v>33.866660000000003</v>
      </c>
      <c r="E656" s="3"/>
      <c r="F656" s="3"/>
      <c r="G656" s="3">
        <f>17253744/10^5</f>
        <v>172.53744</v>
      </c>
      <c r="H656" s="3">
        <f t="shared" si="38"/>
        <v>1300</v>
      </c>
      <c r="I656" s="3">
        <f t="shared" si="38"/>
        <v>1300</v>
      </c>
      <c r="J656" s="3">
        <f t="shared" si="39"/>
        <v>276.49</v>
      </c>
      <c r="K656" s="3">
        <f>1457494567/10^8</f>
        <v>14.57494567</v>
      </c>
      <c r="L656" s="3">
        <f>358644329/10^8</f>
        <v>3.5864432900000001</v>
      </c>
      <c r="M656" s="3">
        <f>1623655023/10^8</f>
        <v>16.236550229999999</v>
      </c>
      <c r="N656" s="5"/>
    </row>
    <row r="657" spans="1:14" x14ac:dyDescent="0.3">
      <c r="A657" s="7">
        <v>44633.822916666664</v>
      </c>
      <c r="B657" s="7">
        <v>44633.833333333336</v>
      </c>
      <c r="C657" s="3">
        <f>20282726/10^5</f>
        <v>202.82726</v>
      </c>
      <c r="D657" s="3">
        <f>3489646/10^5</f>
        <v>34.896459999999998</v>
      </c>
      <c r="E657" s="3"/>
      <c r="F657" s="3"/>
      <c r="G657" s="3">
        <f>1679308/10^4</f>
        <v>167.9308</v>
      </c>
      <c r="H657" s="3">
        <f t="shared" si="38"/>
        <v>1300</v>
      </c>
      <c r="I657" s="3">
        <f t="shared" si="38"/>
        <v>1300</v>
      </c>
      <c r="J657" s="3">
        <f t="shared" si="39"/>
        <v>276.49</v>
      </c>
      <c r="K657" s="3">
        <f>1359761425/10^8</f>
        <v>13.597614249999999</v>
      </c>
      <c r="L657" s="3">
        <f>290126038/10^8</f>
        <v>2.9012603800000001</v>
      </c>
      <c r="M657" s="3">
        <f>1868237389/10^8</f>
        <v>18.682373890000001</v>
      </c>
      <c r="N657" s="5"/>
    </row>
    <row r="658" spans="1:14" x14ac:dyDescent="0.3">
      <c r="A658" s="7">
        <v>44633.833333333336</v>
      </c>
      <c r="B658" s="7">
        <v>44633.84375</v>
      </c>
      <c r="C658" s="3">
        <f>27418255/10^5</f>
        <v>274.18254999999999</v>
      </c>
      <c r="D658" s="3">
        <f>4052164/10^5</f>
        <v>40.521639999999998</v>
      </c>
      <c r="E658" s="3"/>
      <c r="F658" s="3"/>
      <c r="G658" s="3">
        <f>23366091/10^5</f>
        <v>233.66091</v>
      </c>
      <c r="H658" s="3">
        <f t="shared" si="38"/>
        <v>1300</v>
      </c>
      <c r="I658" s="3">
        <f t="shared" si="38"/>
        <v>1300</v>
      </c>
      <c r="J658" s="3">
        <f t="shared" si="39"/>
        <v>276.49</v>
      </c>
      <c r="K658" s="3">
        <f>1394054488/10^8</f>
        <v>13.940544879999999</v>
      </c>
      <c r="L658" s="3">
        <f>378630822/10^8</f>
        <v>3.78630822</v>
      </c>
      <c r="M658" s="3">
        <f>2371004887/10^8</f>
        <v>23.710048870000001</v>
      </c>
      <c r="N658" s="5"/>
    </row>
    <row r="659" spans="1:14" x14ac:dyDescent="0.3">
      <c r="A659" s="7">
        <v>44633.84375</v>
      </c>
      <c r="B659" s="7">
        <v>44633.854166666664</v>
      </c>
      <c r="C659" s="3">
        <f>25344089/10^5</f>
        <v>253.44089</v>
      </c>
      <c r="D659" s="3">
        <f>4013872/10^5</f>
        <v>40.138719999999999</v>
      </c>
      <c r="E659" s="3"/>
      <c r="F659" s="3"/>
      <c r="G659" s="3">
        <f>21330217/10^5</f>
        <v>213.30216999999999</v>
      </c>
      <c r="H659" s="3">
        <f t="shared" si="38"/>
        <v>1300</v>
      </c>
      <c r="I659" s="3">
        <f t="shared" si="38"/>
        <v>1300</v>
      </c>
      <c r="J659" s="3">
        <f t="shared" si="39"/>
        <v>276.49</v>
      </c>
      <c r="K659" s="3">
        <f>124544864/10^7</f>
        <v>12.4544864</v>
      </c>
      <c r="L659" s="3">
        <f>398776722/10^8</f>
        <v>3.9877672199999998</v>
      </c>
      <c r="M659" s="3">
        <f>2108870166/10^8</f>
        <v>21.088701660000002</v>
      </c>
      <c r="N659" s="5"/>
    </row>
    <row r="660" spans="1:14" x14ac:dyDescent="0.3">
      <c r="A660" s="7">
        <v>44633.854166666664</v>
      </c>
      <c r="B660" s="7">
        <v>44633.864583333336</v>
      </c>
      <c r="C660" s="3">
        <f>23896895/10^5</f>
        <v>238.96895000000001</v>
      </c>
      <c r="D660" s="3">
        <f>3166644/10^5</f>
        <v>31.666440000000001</v>
      </c>
      <c r="E660" s="3"/>
      <c r="F660" s="3"/>
      <c r="G660" s="3">
        <f>20730251/10^5</f>
        <v>207.30251000000001</v>
      </c>
      <c r="H660" s="3">
        <f t="shared" si="38"/>
        <v>1300</v>
      </c>
      <c r="I660" s="3">
        <f t="shared" si="38"/>
        <v>1300</v>
      </c>
      <c r="J660" s="3">
        <f t="shared" si="39"/>
        <v>276.49</v>
      </c>
      <c r="K660" s="3">
        <f>1185305356/10^8</f>
        <v>11.853053559999999</v>
      </c>
      <c r="L660" s="3">
        <f>323171137/10^8</f>
        <v>3.2317113700000002</v>
      </c>
      <c r="M660" s="3">
        <f>2071673301/10^8</f>
        <v>20.716733009999999</v>
      </c>
      <c r="N660" s="5"/>
    </row>
    <row r="661" spans="1:14" x14ac:dyDescent="0.3">
      <c r="A661" s="7">
        <v>44633.864583333336</v>
      </c>
      <c r="B661" s="7">
        <v>44633.875</v>
      </c>
      <c r="C661" s="3">
        <f>22215188/10^5</f>
        <v>222.15188000000001</v>
      </c>
      <c r="D661" s="3">
        <f>4093249/10^5</f>
        <v>40.932490000000001</v>
      </c>
      <c r="E661" s="3"/>
      <c r="F661" s="3"/>
      <c r="G661" s="3">
        <f>18121939/10^5</f>
        <v>181.21939</v>
      </c>
      <c r="H661" s="3">
        <f t="shared" si="38"/>
        <v>1300</v>
      </c>
      <c r="I661" s="3">
        <f t="shared" si="38"/>
        <v>1300</v>
      </c>
      <c r="J661" s="3">
        <f t="shared" si="39"/>
        <v>276.49</v>
      </c>
      <c r="K661" s="3">
        <f>1032847311/10^8</f>
        <v>10.328473109999999</v>
      </c>
      <c r="L661" s="3">
        <f>31207248/10^7</f>
        <v>3.1207248000000001</v>
      </c>
      <c r="M661" s="3">
        <f>2639197264/10^8</f>
        <v>26.391972639999999</v>
      </c>
      <c r="N661" s="5"/>
    </row>
    <row r="662" spans="1:14" x14ac:dyDescent="0.3">
      <c r="A662" s="7">
        <v>44633.875</v>
      </c>
      <c r="B662" s="7">
        <v>44633.885416666664</v>
      </c>
      <c r="C662" s="3">
        <f>29648841/10^5</f>
        <v>296.48840999999999</v>
      </c>
      <c r="D662" s="3">
        <f>2930016/10^5</f>
        <v>29.300160000000002</v>
      </c>
      <c r="E662" s="3"/>
      <c r="F662" s="3"/>
      <c r="G662" s="3">
        <f>26718825/10^5</f>
        <v>267.18824999999998</v>
      </c>
      <c r="H662" s="3">
        <f>3472524959/10^7</f>
        <v>347.25249589999999</v>
      </c>
      <c r="I662" s="3">
        <f>34705/10^2</f>
        <v>347.05</v>
      </c>
      <c r="J662" s="3">
        <f>27699/10^2</f>
        <v>276.99</v>
      </c>
      <c r="K662" s="3">
        <f>965914998/10^8</f>
        <v>9.6591499800000005</v>
      </c>
      <c r="L662" s="3">
        <f>465786808/10^8</f>
        <v>4.6578680800000001</v>
      </c>
      <c r="M662" s="3">
        <f>769948725/10^8</f>
        <v>7.6994872499999998</v>
      </c>
      <c r="N662" s="5"/>
    </row>
    <row r="663" spans="1:14" x14ac:dyDescent="0.3">
      <c r="A663" s="7">
        <v>44633.885416666664</v>
      </c>
      <c r="B663" s="7">
        <v>44633.895833333336</v>
      </c>
      <c r="C663" s="3">
        <f>27273882/10^5</f>
        <v>272.73881999999998</v>
      </c>
      <c r="D663" s="3">
        <f>3469013/10^5</f>
        <v>34.690130000000003</v>
      </c>
      <c r="E663" s="3"/>
      <c r="F663" s="3"/>
      <c r="G663" s="3">
        <f>23804869/10^5</f>
        <v>238.04868999999999</v>
      </c>
      <c r="H663" s="3">
        <f>3470945389/10^7</f>
        <v>347.09453889999998</v>
      </c>
      <c r="I663" s="3">
        <f>34705/10^2</f>
        <v>347.05</v>
      </c>
      <c r="J663" s="3">
        <f>27699/10^2</f>
        <v>276.99</v>
      </c>
      <c r="K663" s="3">
        <f>962680266/10^8</f>
        <v>9.6268026599999992</v>
      </c>
      <c r="L663" s="3">
        <f>473220626/10^8</f>
        <v>4.7322062599999999</v>
      </c>
      <c r="M663" s="3">
        <f>644631372/10^8</f>
        <v>6.44631372</v>
      </c>
      <c r="N663" s="5"/>
    </row>
    <row r="664" spans="1:14" x14ac:dyDescent="0.3">
      <c r="A664" s="7">
        <v>44633.895833333336</v>
      </c>
      <c r="B664" s="7">
        <v>44633.90625</v>
      </c>
      <c r="C664" s="3">
        <f>23340667/10^5</f>
        <v>233.40666999999999</v>
      </c>
      <c r="D664" s="3">
        <f>2840447/10^5</f>
        <v>28.40447</v>
      </c>
      <c r="E664" s="3"/>
      <c r="F664" s="3"/>
      <c r="G664" s="3">
        <f>2050022/10^4</f>
        <v>205.00219999999999</v>
      </c>
      <c r="H664" s="3">
        <f>3474336705/10^7</f>
        <v>347.43367050000001</v>
      </c>
      <c r="I664" s="3">
        <f>34705/10^2</f>
        <v>347.05</v>
      </c>
      <c r="J664" s="3">
        <f>27699/10^2</f>
        <v>276.99</v>
      </c>
      <c r="K664" s="3">
        <f>957388373/10^8</f>
        <v>9.5738837300000004</v>
      </c>
      <c r="L664" s="3">
        <f>488934426/10^8</f>
        <v>4.8893442599999997</v>
      </c>
      <c r="M664" s="3">
        <f>779042824/10^8</f>
        <v>7.7904282399999998</v>
      </c>
      <c r="N664" s="5"/>
    </row>
    <row r="665" spans="1:14" x14ac:dyDescent="0.3">
      <c r="A665" s="7">
        <v>44633.90625</v>
      </c>
      <c r="B665" s="7">
        <v>44633.916666666664</v>
      </c>
      <c r="C665" s="3">
        <f>19313869/10^5</f>
        <v>193.13869</v>
      </c>
      <c r="D665" s="3">
        <f>4806215/10^5</f>
        <v>48.062150000000003</v>
      </c>
      <c r="E665" s="3"/>
      <c r="F665" s="3"/>
      <c r="G665" s="3">
        <f>14507654/10^5</f>
        <v>145.07653999999999</v>
      </c>
      <c r="H665" s="3">
        <f>3470831244/10^7</f>
        <v>347.08312439999997</v>
      </c>
      <c r="I665" s="3">
        <f>34705/10^2</f>
        <v>347.05</v>
      </c>
      <c r="J665" s="3">
        <f>27699/10^2</f>
        <v>276.99</v>
      </c>
      <c r="K665" s="3">
        <f>961995621/10^8</f>
        <v>9.6199562099999998</v>
      </c>
      <c r="L665" s="3">
        <f>505616837/10^8</f>
        <v>5.05616837</v>
      </c>
      <c r="M665" s="3">
        <f>889896366/10^8</f>
        <v>8.8989636599999997</v>
      </c>
      <c r="N665" s="5"/>
    </row>
    <row r="666" spans="1:14" x14ac:dyDescent="0.3">
      <c r="A666" s="7">
        <v>44633.916666666664</v>
      </c>
      <c r="B666" s="7">
        <v>44633.927083333336</v>
      </c>
      <c r="C666" s="3">
        <f>23962836/10^5</f>
        <v>239.62835999999999</v>
      </c>
      <c r="D666" s="3">
        <f>2571508/10^5</f>
        <v>25.71508</v>
      </c>
      <c r="E666" s="3"/>
      <c r="F666" s="3"/>
      <c r="G666" s="3">
        <f>21391328/10^5</f>
        <v>213.91327999999999</v>
      </c>
      <c r="H666" s="3">
        <f>3296406383/10^7</f>
        <v>329.64063829999998</v>
      </c>
      <c r="I666" s="3">
        <f>32915/10^2</f>
        <v>329.15</v>
      </c>
      <c r="J666" s="3">
        <f>0/10^0</f>
        <v>0</v>
      </c>
      <c r="K666" s="3">
        <f>92758343/10^7</f>
        <v>9.2758342999999996</v>
      </c>
      <c r="L666" s="3">
        <f>533922781/10^8</f>
        <v>5.3392278099999997</v>
      </c>
      <c r="M666" s="3">
        <f>1483608999/10^8</f>
        <v>14.83608999</v>
      </c>
      <c r="N666" s="5"/>
    </row>
    <row r="667" spans="1:14" x14ac:dyDescent="0.3">
      <c r="A667" s="7">
        <v>44633.927083333336</v>
      </c>
      <c r="B667" s="7">
        <v>44633.9375</v>
      </c>
      <c r="C667" s="3">
        <f>18984286/10^5</f>
        <v>189.84286</v>
      </c>
      <c r="D667" s="3">
        <f>3543471/10^5</f>
        <v>35.434710000000003</v>
      </c>
      <c r="E667" s="3"/>
      <c r="F667" s="3"/>
      <c r="G667" s="3">
        <f>15440815/10^5</f>
        <v>154.40815000000001</v>
      </c>
      <c r="H667" s="3">
        <f>3291764312/10^7</f>
        <v>329.17643120000002</v>
      </c>
      <c r="I667" s="3">
        <f>32915/10^2</f>
        <v>329.15</v>
      </c>
      <c r="J667" s="3">
        <f>0/10^0</f>
        <v>0</v>
      </c>
      <c r="K667" s="3">
        <f>923089783/10^8</f>
        <v>9.23089783</v>
      </c>
      <c r="L667" s="3">
        <f>544068965/10^8</f>
        <v>5.4406896500000004</v>
      </c>
      <c r="M667" s="3">
        <f>1096136668/10^8</f>
        <v>10.961366679999999</v>
      </c>
      <c r="N667" s="5"/>
    </row>
    <row r="668" spans="1:14" x14ac:dyDescent="0.3">
      <c r="A668" s="7">
        <v>44633.9375</v>
      </c>
      <c r="B668" s="7">
        <v>44633.947916666664</v>
      </c>
      <c r="C668" s="3">
        <f>13066889/10^5</f>
        <v>130.66889</v>
      </c>
      <c r="D668" s="3">
        <f>4287589/10^5</f>
        <v>42.875889999999998</v>
      </c>
      <c r="E668" s="3"/>
      <c r="F668" s="3"/>
      <c r="G668" s="3">
        <f>87793/10^3</f>
        <v>87.793000000000006</v>
      </c>
      <c r="H668" s="3">
        <f>3292761826/10^7</f>
        <v>329.27618260000003</v>
      </c>
      <c r="I668" s="3">
        <f>32915/10^2</f>
        <v>329.15</v>
      </c>
      <c r="J668" s="3">
        <f>18653/10^2</f>
        <v>186.53</v>
      </c>
      <c r="K668" s="3">
        <f>933288843/10^8</f>
        <v>9.3328884300000006</v>
      </c>
      <c r="L668" s="3">
        <f>530457834/10^8</f>
        <v>5.3045783399999999</v>
      </c>
      <c r="M668" s="3">
        <f>487581488/10^8</f>
        <v>4.8758148800000001</v>
      </c>
      <c r="N668" s="5"/>
    </row>
    <row r="669" spans="1:14" x14ac:dyDescent="0.3">
      <c r="A669" s="7">
        <v>44633.947916666664</v>
      </c>
      <c r="B669" s="7">
        <v>44633.958333333336</v>
      </c>
      <c r="C669" s="3">
        <f>10341892/10^5</f>
        <v>103.41892</v>
      </c>
      <c r="D669" s="3">
        <f>4372492/10^5</f>
        <v>43.724919999999997</v>
      </c>
      <c r="E669" s="3"/>
      <c r="F669" s="3"/>
      <c r="G669" s="3">
        <f>59694/10^3</f>
        <v>59.694000000000003</v>
      </c>
      <c r="H669" s="3">
        <f>329232568/10^6</f>
        <v>329.23256800000001</v>
      </c>
      <c r="I669" s="3">
        <f>32915/10^2</f>
        <v>329.15</v>
      </c>
      <c r="J669" s="3">
        <f>18653/10^2</f>
        <v>186.53</v>
      </c>
      <c r="K669" s="3">
        <f>914554963/10^8</f>
        <v>9.1455496299999997</v>
      </c>
      <c r="L669" s="3">
        <f>53849786/10^7</f>
        <v>5.3849786000000002</v>
      </c>
      <c r="M669" s="3">
        <f>673757635/10^8</f>
        <v>6.7375763500000003</v>
      </c>
      <c r="N669" s="5"/>
    </row>
    <row r="670" spans="1:14" x14ac:dyDescent="0.3">
      <c r="A670" s="7">
        <v>44633.958333333336</v>
      </c>
      <c r="B670" s="7">
        <v>44633.96875</v>
      </c>
      <c r="C670" s="3">
        <f>13283877/10^5</f>
        <v>132.83877000000001</v>
      </c>
      <c r="D670" s="3">
        <f>3936849/10^5</f>
        <v>39.368490000000001</v>
      </c>
      <c r="E670" s="3"/>
      <c r="F670" s="3"/>
      <c r="G670" s="3">
        <f>9347028/10^5</f>
        <v>93.470280000000002</v>
      </c>
      <c r="H670" s="3">
        <f>3083773434/10^7</f>
        <v>308.37734339999997</v>
      </c>
      <c r="I670" s="3">
        <f>30478/10^2</f>
        <v>304.77999999999997</v>
      </c>
      <c r="J670" s="3">
        <f>142/10^0</f>
        <v>142</v>
      </c>
      <c r="K670" s="3">
        <f>884470937/10^8</f>
        <v>8.8447093700000003</v>
      </c>
      <c r="L670" s="3">
        <f>465507863/10^8</f>
        <v>4.6550786300000002</v>
      </c>
      <c r="M670" s="3">
        <f>-195449249/10^8</f>
        <v>-1.95449249</v>
      </c>
    </row>
    <row r="671" spans="1:14" x14ac:dyDescent="0.3">
      <c r="A671" s="7">
        <v>44633.96875</v>
      </c>
      <c r="B671" s="7">
        <v>44633.979166666664</v>
      </c>
      <c r="C671" s="3">
        <f>12160403/10^5</f>
        <v>121.60402999999999</v>
      </c>
      <c r="D671" s="3">
        <f>4233223/10^5</f>
        <v>42.332230000000003</v>
      </c>
      <c r="E671" s="3"/>
      <c r="F671" s="3"/>
      <c r="G671" s="3">
        <f>792718/10^4</f>
        <v>79.271799999999999</v>
      </c>
      <c r="H671" s="3">
        <f>349/10^0</f>
        <v>349</v>
      </c>
      <c r="I671" s="3">
        <f>349/10^0</f>
        <v>349</v>
      </c>
      <c r="J671" s="3">
        <f>142/10^0</f>
        <v>142</v>
      </c>
      <c r="K671" s="3">
        <f>848396471/10^8</f>
        <v>8.4839647100000004</v>
      </c>
      <c r="L671" s="3">
        <f>484108484/10^8</f>
        <v>4.8410848399999997</v>
      </c>
      <c r="M671" s="3">
        <f>803892459/10^8</f>
        <v>8.0389245900000006</v>
      </c>
    </row>
    <row r="672" spans="1:14" x14ac:dyDescent="0.3">
      <c r="A672" s="7">
        <v>44633.979166666664</v>
      </c>
      <c r="B672" s="7">
        <v>44633.989583333336</v>
      </c>
      <c r="C672" s="3">
        <f>9063015/10^5</f>
        <v>90.63015</v>
      </c>
      <c r="D672" s="3">
        <f>5539525/10^5</f>
        <v>55.395249999999997</v>
      </c>
      <c r="E672" s="3"/>
      <c r="F672" s="3"/>
      <c r="G672" s="3">
        <f>352349/10^4</f>
        <v>35.234900000000003</v>
      </c>
      <c r="H672" s="3">
        <f>304872164/10^6</f>
        <v>304.872164</v>
      </c>
      <c r="I672" s="3">
        <f>30478/10^2</f>
        <v>304.77999999999997</v>
      </c>
      <c r="J672" s="3">
        <f>18511/10^2</f>
        <v>185.11</v>
      </c>
      <c r="K672" s="3">
        <f>899586317/10^8</f>
        <v>8.9958631699999998</v>
      </c>
      <c r="L672" s="3">
        <f>416000475/10^8</f>
        <v>4.1600047499999997</v>
      </c>
      <c r="M672" s="3">
        <f>486678916/10^8</f>
        <v>4.8667891599999997</v>
      </c>
    </row>
    <row r="673" spans="1:13" x14ac:dyDescent="0.3">
      <c r="A673" s="7">
        <v>44633.989583333336</v>
      </c>
      <c r="B673" s="7">
        <v>44634</v>
      </c>
      <c r="C673" s="3">
        <f>5978304/10^5</f>
        <v>59.78304</v>
      </c>
      <c r="D673" s="3">
        <f>7267148/10^5</f>
        <v>72.671480000000003</v>
      </c>
      <c r="E673" s="3"/>
      <c r="F673" s="3"/>
      <c r="G673" s="3">
        <f>-1288844/10^5</f>
        <v>-12.888439999999999</v>
      </c>
      <c r="H673" s="3">
        <f>1754194812/10^7</f>
        <v>175.41948120000001</v>
      </c>
      <c r="I673" s="3">
        <f>30478/10^2</f>
        <v>304.77999999999997</v>
      </c>
      <c r="J673" s="3">
        <f>18511/10^2</f>
        <v>185.11</v>
      </c>
      <c r="K673" s="3">
        <f>914217634/10^8</f>
        <v>9.1421763400000007</v>
      </c>
      <c r="L673" s="3">
        <f>387157904/10^8</f>
        <v>3.8715790399999999</v>
      </c>
      <c r="M673" s="3">
        <f>281196438/10^8</f>
        <v>2.81196438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2022-03-17T10:27:20Z</dcterms:modified>
</cp:coreProperties>
</file>